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rawings/drawing11.xml" ContentType="application/vnd.openxmlformats-officedocument.drawing+xml"/>
  <Override PartName="/xl/charts/chart1.xml" ContentType="application/vnd.openxmlformats-officedocument.drawingml.chart+xml"/>
  <Override PartName="/xl/drawings/drawing12.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omments2.xml" ContentType="application/vnd.openxmlformats-officedocument.spreadsheetml.comment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0" yWindow="0" windowWidth="20730" windowHeight="9435"/>
  </bookViews>
  <sheets>
    <sheet name="Home" sheetId="84" r:id="rId1"/>
    <sheet name="Acknowledgments" sheetId="88" r:id="rId2"/>
    <sheet name="Introduction" sheetId="20" r:id="rId3"/>
    <sheet name="Instructions" sheetId="22" r:id="rId4"/>
    <sheet name="Recommendations" sheetId="82" r:id="rId5"/>
    <sheet name="Project information" sheetId="11" r:id="rId6"/>
    <sheet name="Application Form" sheetId="87" r:id="rId7"/>
    <sheet name="Pre-assessment checklist" sheetId="78" r:id="rId8"/>
    <sheet name="Certification stage checklist " sheetId="79" r:id="rId9"/>
    <sheet name="LOTUS Homes Scorecard" sheetId="25" r:id="rId10"/>
    <sheet name="Graphical Results" sheetId="57" r:id="rId11"/>
    <sheet name="Energy" sheetId="45" r:id="rId12"/>
    <sheet name="E-1 Passive Design" sheetId="29" r:id="rId13"/>
    <sheet name="E-2 Building Envelope" sheetId="10" r:id="rId14"/>
    <sheet name="E-3 Home Cooling" sheetId="8" r:id="rId15"/>
    <sheet name="E-4 Artificial Lighting" sheetId="7" r:id="rId16"/>
    <sheet name="E-5 Water Heating" sheetId="34" r:id="rId17"/>
    <sheet name="E-6 Energy Efficient Appliances" sheetId="18" r:id="rId18"/>
    <sheet name="E-7 Energy Monitor" sheetId="37" r:id="rId19"/>
    <sheet name="Energy BPC" sheetId="58" r:id="rId20"/>
    <sheet name="Water" sheetId="41" r:id="rId21"/>
    <sheet name="W-1 Water Efficient Fixtures" sheetId="19" r:id="rId22"/>
    <sheet name="W-2 Water Efficient Landscaping" sheetId="40" r:id="rId23"/>
    <sheet name="W-3 Drinking Water " sheetId="53" r:id="rId24"/>
    <sheet name="Water BPC" sheetId="81" r:id="rId25"/>
    <sheet name="Materials" sheetId="46" r:id="rId26"/>
    <sheet name="M-1 Structure Materials" sheetId="60" r:id="rId27"/>
    <sheet name="M-2 Non-structural Walls" sheetId="61" r:id="rId28"/>
    <sheet name="M-3 Windows and Doors" sheetId="64" r:id="rId29"/>
    <sheet name="M-4 Flooring Materials" sheetId="65" r:id="rId30"/>
    <sheet name="M-5 Roofing Materials" sheetId="66" r:id="rId31"/>
    <sheet name="M-6 Furniture" sheetId="69" r:id="rId32"/>
    <sheet name="Health &amp; Comfort" sheetId="47" r:id="rId33"/>
    <sheet name="H-1 Fresh Air Supply" sheetId="30" r:id="rId34"/>
    <sheet name="H-2 Ventilation in wet areas" sheetId="24" r:id="rId35"/>
    <sheet name="H-3 Low-VOC Emissions " sheetId="89" r:id="rId36"/>
    <sheet name="H-4 Daylighting" sheetId="28" r:id="rId37"/>
    <sheet name="H-5 Acoustic Comfort" sheetId="74" r:id="rId38"/>
    <sheet name="H&amp;C BPC" sheetId="67" r:id="rId39"/>
    <sheet name="Local Environment" sheetId="49" r:id="rId40"/>
    <sheet name="LE-1 Site Selection" sheetId="21" r:id="rId41"/>
    <sheet name="LE-2 Site design" sheetId="26" r:id="rId42"/>
    <sheet name="LE-3 Vegetation" sheetId="16" r:id="rId43"/>
    <sheet name="LE-4 Heat Island Effect" sheetId="9" r:id="rId44"/>
    <sheet name="LE-5 Storm Water Runoff" sheetId="17" r:id="rId45"/>
    <sheet name="LE-6 Flood Risk Mitigation" sheetId="32" r:id="rId46"/>
    <sheet name="LE-7 Refrigerants" sheetId="31" r:id="rId47"/>
    <sheet name="LE-8 Waste Management" sheetId="33" r:id="rId48"/>
    <sheet name="LE BPC" sheetId="63" r:id="rId49"/>
    <sheet name="Community &amp; Management" sheetId="50" r:id="rId50"/>
    <sheet name="CM-1 Design Stage" sheetId="35" r:id="rId51"/>
    <sheet name="CM-2 Construction Management" sheetId="36" r:id="rId52"/>
    <sheet name="CM-3 Operational Management" sheetId="51" r:id="rId53"/>
    <sheet name="CM BPC" sheetId="62" r:id="rId54"/>
    <sheet name="Innovation" sheetId="52" r:id="rId55"/>
    <sheet name="Inn-1 Exceptional Performance " sheetId="90" r:id="rId56"/>
    <sheet name="Inn-2 Innovative Techniques" sheetId="72" r:id="rId57"/>
    <sheet name="Glossary" sheetId="85" r:id="rId58"/>
    <sheet name="Resources" sheetId="39" r:id="rId59"/>
    <sheet name="Rainfall Data" sheetId="55" state="hidden" r:id="rId60"/>
    <sheet name="Feedback" sheetId="68" state="hidden" r:id="rId61"/>
  </sheets>
  <externalReferences>
    <externalReference r:id="rId62"/>
    <externalReference r:id="rId63"/>
  </externalReferences>
  <definedNames>
    <definedName name="basic_services" localSheetId="35">'LE-1 Site Selection'!$O$101:$O$128</definedName>
    <definedName name="basic_services">'LE-1 Site Selection'!$O$101:$O$128</definedName>
    <definedName name="buildingtype">'H-1 Fresh Air Supply'!$P$70:$P$82</definedName>
    <definedName name="Locations" localSheetId="35">'Rainfall Data'!$A$4:$A$68</definedName>
    <definedName name="Locations">'Rainfall Data'!$A$4:$A$68</definedName>
    <definedName name="_xlnm.Print_Area" localSheetId="6">'Application Form'!$A$1:$H$84</definedName>
    <definedName name="Process_type">'[1]W-1 Water Efficient Fixtures'!$M$207:$M$221</definedName>
    <definedName name="slope">'LE-4 Heat Island Effect'!$M$34:$M$36</definedName>
    <definedName name="space_type_acoustic">'[1]H&amp;C BPC'!$P$247:$P$257</definedName>
    <definedName name="space_types" localSheetId="35">'[1]E-2 Artificial Lighting'!$M$82:$M$91</definedName>
    <definedName name="space_types">'[2]E-2 Artificial Lighting'!$L$28:$L$37</definedName>
    <definedName name="Sustainable_furniture">'[1]M-2 Sustainable Furniture'!$N$44:$N$59</definedName>
    <definedName name="Sustainable_materials">'[1]M-1 Sustainable Materials'!$M$35:$M$52</definedName>
    <definedName name="toto" hidden="1">0</definedName>
    <definedName name="type_AC" localSheetId="35">'[1]E-1 Space cooling'!$O$167:$O$175</definedName>
    <definedName name="type_AC" localSheetId="0">'[2]E-1 Space cooling'!$O$54:$O$62</definedName>
    <definedName name="type_AC">'E-3 Home Cooling'!$O$202:$O$206</definedName>
  </definedNames>
  <calcPr calcId="144525"/>
  <fileRecoveryPr repairLoad="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4" i="63" l="1"/>
  <c r="E106" i="36" l="1"/>
  <c r="D38" i="32" l="1"/>
  <c r="S15" i="57" l="1"/>
  <c r="S17" i="57"/>
  <c r="S14" i="57"/>
  <c r="B21" i="51" l="1"/>
  <c r="E130" i="36"/>
  <c r="D26" i="31"/>
  <c r="B24" i="31"/>
  <c r="B23" i="31"/>
  <c r="B22" i="31"/>
  <c r="B20" i="33"/>
  <c r="B22" i="33"/>
  <c r="B21" i="33"/>
  <c r="D24" i="33"/>
  <c r="E63" i="67"/>
  <c r="D34" i="67"/>
  <c r="E33" i="53"/>
  <c r="H11" i="45"/>
  <c r="D30" i="37" l="1"/>
  <c r="B4" i="50" l="1"/>
  <c r="K40" i="30" l="1"/>
  <c r="N104" i="30"/>
  <c r="N103" i="30"/>
  <c r="N102" i="30"/>
  <c r="N99" i="30"/>
  <c r="N98" i="30"/>
  <c r="AG91" i="30"/>
  <c r="AC91" i="30"/>
  <c r="Z91" i="30"/>
  <c r="AJ91" i="30" s="1"/>
  <c r="Y91" i="30"/>
  <c r="AI91" i="30" s="1"/>
  <c r="X91" i="30"/>
  <c r="AH91" i="30" s="1"/>
  <c r="W91" i="30"/>
  <c r="V91" i="30"/>
  <c r="AF91" i="30" s="1"/>
  <c r="U91" i="30"/>
  <c r="AE91" i="30" s="1"/>
  <c r="T91" i="30"/>
  <c r="AD91" i="30" s="1"/>
  <c r="S91" i="30"/>
  <c r="R91" i="30"/>
  <c r="AB91" i="30" s="1"/>
  <c r="J91" i="30"/>
  <c r="O91" i="30" s="1"/>
  <c r="H91" i="30"/>
  <c r="AH90" i="30"/>
  <c r="AG90" i="30"/>
  <c r="AD90" i="30"/>
  <c r="Z90" i="30"/>
  <c r="AJ90" i="30" s="1"/>
  <c r="Y90" i="30"/>
  <c r="AI90" i="30" s="1"/>
  <c r="X90" i="30"/>
  <c r="W90" i="30"/>
  <c r="V90" i="30"/>
  <c r="AF90" i="30" s="1"/>
  <c r="U90" i="30"/>
  <c r="AE90" i="30" s="1"/>
  <c r="T90" i="30"/>
  <c r="S90" i="30"/>
  <c r="AC90" i="30" s="1"/>
  <c r="R90" i="30"/>
  <c r="AB90" i="30" s="1"/>
  <c r="O90" i="30"/>
  <c r="J90" i="30"/>
  <c r="H90" i="30"/>
  <c r="AI89" i="30"/>
  <c r="AH89" i="30"/>
  <c r="AE89" i="30"/>
  <c r="Z89" i="30"/>
  <c r="AJ89" i="30" s="1"/>
  <c r="Y89" i="30"/>
  <c r="X89" i="30"/>
  <c r="W89" i="30"/>
  <c r="AG89" i="30" s="1"/>
  <c r="V89" i="30"/>
  <c r="AF89" i="30" s="1"/>
  <c r="U89" i="30"/>
  <c r="T89" i="30"/>
  <c r="AD89" i="30" s="1"/>
  <c r="S89" i="30"/>
  <c r="AC89" i="30" s="1"/>
  <c r="R89" i="30"/>
  <c r="AB89" i="30" s="1"/>
  <c r="O89" i="30"/>
  <c r="J89" i="30"/>
  <c r="H89" i="30"/>
  <c r="AJ88" i="30"/>
  <c r="AI88" i="30"/>
  <c r="AF88" i="30"/>
  <c r="AB88" i="30"/>
  <c r="Z88" i="30"/>
  <c r="Y88" i="30"/>
  <c r="X88" i="30"/>
  <c r="AH88" i="30" s="1"/>
  <c r="W88" i="30"/>
  <c r="AG88" i="30" s="1"/>
  <c r="V88" i="30"/>
  <c r="U88" i="30"/>
  <c r="AE88" i="30" s="1"/>
  <c r="T88" i="30"/>
  <c r="AD88" i="30" s="1"/>
  <c r="S88" i="30"/>
  <c r="AC88" i="30" s="1"/>
  <c r="R88" i="30"/>
  <c r="J88" i="30"/>
  <c r="O88" i="30" s="1"/>
  <c r="H88" i="30"/>
  <c r="AJ87" i="30"/>
  <c r="AG87" i="30"/>
  <c r="AF87" i="30"/>
  <c r="AC87" i="30"/>
  <c r="AB87" i="30"/>
  <c r="Z87" i="30"/>
  <c r="Y87" i="30"/>
  <c r="AI87" i="30" s="1"/>
  <c r="X87" i="30"/>
  <c r="AH87" i="30" s="1"/>
  <c r="W87" i="30"/>
  <c r="V87" i="30"/>
  <c r="U87" i="30"/>
  <c r="AE87" i="30" s="1"/>
  <c r="T87" i="30"/>
  <c r="AD87" i="30" s="1"/>
  <c r="S87" i="30"/>
  <c r="R87" i="30"/>
  <c r="J87" i="30"/>
  <c r="O87" i="30" s="1"/>
  <c r="H87" i="30"/>
  <c r="AH86" i="30"/>
  <c r="AG86" i="30"/>
  <c r="AD86" i="30"/>
  <c r="AC86" i="30"/>
  <c r="Z86" i="30"/>
  <c r="AJ86" i="30" s="1"/>
  <c r="Y86" i="30"/>
  <c r="AI86" i="30" s="1"/>
  <c r="X86" i="30"/>
  <c r="W86" i="30"/>
  <c r="V86" i="30"/>
  <c r="AF86" i="30" s="1"/>
  <c r="U86" i="30"/>
  <c r="AE86" i="30" s="1"/>
  <c r="T86" i="30"/>
  <c r="S86" i="30"/>
  <c r="R86" i="30"/>
  <c r="AB86" i="30" s="1"/>
  <c r="O86" i="30"/>
  <c r="J86" i="30"/>
  <c r="H86" i="30"/>
  <c r="AI85" i="30"/>
  <c r="AH85" i="30"/>
  <c r="AE85" i="30"/>
  <c r="AD85" i="30"/>
  <c r="Z85" i="30"/>
  <c r="AJ85" i="30" s="1"/>
  <c r="Y85" i="30"/>
  <c r="X85" i="30"/>
  <c r="W85" i="30"/>
  <c r="AG85" i="30" s="1"/>
  <c r="V85" i="30"/>
  <c r="AF85" i="30" s="1"/>
  <c r="U85" i="30"/>
  <c r="T85" i="30"/>
  <c r="S85" i="30"/>
  <c r="AC85" i="30" s="1"/>
  <c r="R85" i="30"/>
  <c r="AB85" i="30" s="1"/>
  <c r="O85" i="30"/>
  <c r="J85" i="30"/>
  <c r="H85" i="30"/>
  <c r="AJ84" i="30"/>
  <c r="AI84" i="30"/>
  <c r="AF84" i="30"/>
  <c r="AE84" i="30"/>
  <c r="AB84" i="30"/>
  <c r="Z84" i="30"/>
  <c r="Y84" i="30"/>
  <c r="X84" i="30"/>
  <c r="AH84" i="30" s="1"/>
  <c r="W84" i="30"/>
  <c r="AG84" i="30" s="1"/>
  <c r="V84" i="30"/>
  <c r="U84" i="30"/>
  <c r="T84" i="30"/>
  <c r="AD84" i="30" s="1"/>
  <c r="S84" i="30"/>
  <c r="AC84" i="30" s="1"/>
  <c r="R84" i="30"/>
  <c r="J84" i="30"/>
  <c r="O84" i="30" s="1"/>
  <c r="H84" i="30"/>
  <c r="AJ83" i="30"/>
  <c r="AG83" i="30"/>
  <c r="AF83" i="30"/>
  <c r="AC83" i="30"/>
  <c r="AB83" i="30"/>
  <c r="Z83" i="30"/>
  <c r="Y83" i="30"/>
  <c r="AI83" i="30" s="1"/>
  <c r="X83" i="30"/>
  <c r="AH83" i="30" s="1"/>
  <c r="W83" i="30"/>
  <c r="V83" i="30"/>
  <c r="U83" i="30"/>
  <c r="AE83" i="30" s="1"/>
  <c r="T83" i="30"/>
  <c r="AD83" i="30" s="1"/>
  <c r="S83" i="30"/>
  <c r="R83" i="30"/>
  <c r="J83" i="30"/>
  <c r="O83" i="30" s="1"/>
  <c r="H83" i="30"/>
  <c r="AH82" i="30"/>
  <c r="AG82" i="30"/>
  <c r="AD82" i="30"/>
  <c r="AC82" i="30"/>
  <c r="Z82" i="30"/>
  <c r="AJ82" i="30" s="1"/>
  <c r="Y82" i="30"/>
  <c r="AI82" i="30" s="1"/>
  <c r="X82" i="30"/>
  <c r="W82" i="30"/>
  <c r="V82" i="30"/>
  <c r="AF82" i="30" s="1"/>
  <c r="U82" i="30"/>
  <c r="AE82" i="30" s="1"/>
  <c r="T82" i="30"/>
  <c r="S82" i="30"/>
  <c r="R82" i="30"/>
  <c r="AB82" i="30" s="1"/>
  <c r="O82" i="30"/>
  <c r="J82" i="30"/>
  <c r="H82" i="30"/>
  <c r="AI81" i="30"/>
  <c r="AH81" i="30"/>
  <c r="AE81" i="30"/>
  <c r="AD81" i="30"/>
  <c r="Z81" i="30"/>
  <c r="AJ81" i="30" s="1"/>
  <c r="Y81" i="30"/>
  <c r="X81" i="30"/>
  <c r="W81" i="30"/>
  <c r="AG81" i="30" s="1"/>
  <c r="V81" i="30"/>
  <c r="AF81" i="30" s="1"/>
  <c r="U81" i="30"/>
  <c r="T81" i="30"/>
  <c r="S81" i="30"/>
  <c r="AC81" i="30" s="1"/>
  <c r="R81" i="30"/>
  <c r="AB81" i="30" s="1"/>
  <c r="O81" i="30"/>
  <c r="J81" i="30"/>
  <c r="H81" i="30"/>
  <c r="AJ80" i="30"/>
  <c r="AI80" i="30"/>
  <c r="AF80" i="30"/>
  <c r="AE80" i="30"/>
  <c r="AB80" i="30"/>
  <c r="Z80" i="30"/>
  <c r="Y80" i="30"/>
  <c r="X80" i="30"/>
  <c r="AH80" i="30" s="1"/>
  <c r="W80" i="30"/>
  <c r="AG80" i="30" s="1"/>
  <c r="V80" i="30"/>
  <c r="U80" i="30"/>
  <c r="T80" i="30"/>
  <c r="AD80" i="30" s="1"/>
  <c r="S80" i="30"/>
  <c r="AC80" i="30" s="1"/>
  <c r="R80" i="30"/>
  <c r="J80" i="30"/>
  <c r="O80" i="30" s="1"/>
  <c r="H80" i="30"/>
  <c r="AJ79" i="30"/>
  <c r="AG79" i="30"/>
  <c r="AF79" i="30"/>
  <c r="AC79" i="30"/>
  <c r="AB79" i="30"/>
  <c r="Z79" i="30"/>
  <c r="Y79" i="30"/>
  <c r="AI79" i="30" s="1"/>
  <c r="X79" i="30"/>
  <c r="AH79" i="30" s="1"/>
  <c r="W79" i="30"/>
  <c r="V79" i="30"/>
  <c r="U79" i="30"/>
  <c r="AE79" i="30" s="1"/>
  <c r="T79" i="30"/>
  <c r="AD79" i="30" s="1"/>
  <c r="S79" i="30"/>
  <c r="R79" i="30"/>
  <c r="J79" i="30"/>
  <c r="O79" i="30" s="1"/>
  <c r="H79" i="30"/>
  <c r="AH78" i="30"/>
  <c r="AG78" i="30"/>
  <c r="AD78" i="30"/>
  <c r="AC78" i="30"/>
  <c r="Z78" i="30"/>
  <c r="AJ78" i="30" s="1"/>
  <c r="Y78" i="30"/>
  <c r="AI78" i="30" s="1"/>
  <c r="X78" i="30"/>
  <c r="W78" i="30"/>
  <c r="V78" i="30"/>
  <c r="AF78" i="30" s="1"/>
  <c r="U78" i="30"/>
  <c r="AE78" i="30" s="1"/>
  <c r="T78" i="30"/>
  <c r="S78" i="30"/>
  <c r="R78" i="30"/>
  <c r="AB78" i="30" s="1"/>
  <c r="O78" i="30"/>
  <c r="J78" i="30"/>
  <c r="H78" i="30"/>
  <c r="AI77" i="30"/>
  <c r="AH77" i="30"/>
  <c r="AE77" i="30"/>
  <c r="AD77" i="30"/>
  <c r="Z77" i="30"/>
  <c r="AJ77" i="30" s="1"/>
  <c r="Y77" i="30"/>
  <c r="X77" i="30"/>
  <c r="W77" i="30"/>
  <c r="AG77" i="30" s="1"/>
  <c r="V77" i="30"/>
  <c r="AF77" i="30" s="1"/>
  <c r="U77" i="30"/>
  <c r="T77" i="30"/>
  <c r="S77" i="30"/>
  <c r="AC77" i="30" s="1"/>
  <c r="R77" i="30"/>
  <c r="AB77" i="30" s="1"/>
  <c r="O77" i="30"/>
  <c r="J77" i="30"/>
  <c r="H77" i="30"/>
  <c r="AJ76" i="30"/>
  <c r="AI76" i="30"/>
  <c r="AF76" i="30"/>
  <c r="AE76" i="30"/>
  <c r="AB76" i="30"/>
  <c r="Z76" i="30"/>
  <c r="Y76" i="30"/>
  <c r="X76" i="30"/>
  <c r="AH76" i="30" s="1"/>
  <c r="W76" i="30"/>
  <c r="AG76" i="30" s="1"/>
  <c r="V76" i="30"/>
  <c r="U76" i="30"/>
  <c r="T76" i="30"/>
  <c r="AD76" i="30" s="1"/>
  <c r="S76" i="30"/>
  <c r="AC76" i="30" s="1"/>
  <c r="R76" i="30"/>
  <c r="J76" i="30"/>
  <c r="O76" i="30" s="1"/>
  <c r="H76" i="30"/>
  <c r="AJ75" i="30"/>
  <c r="AG75" i="30"/>
  <c r="AF75" i="30"/>
  <c r="AC75" i="30"/>
  <c r="AB75" i="30"/>
  <c r="Z75" i="30"/>
  <c r="Y75" i="30"/>
  <c r="AI75" i="30" s="1"/>
  <c r="X75" i="30"/>
  <c r="AH75" i="30" s="1"/>
  <c r="W75" i="30"/>
  <c r="V75" i="30"/>
  <c r="U75" i="30"/>
  <c r="AE75" i="30" s="1"/>
  <c r="T75" i="30"/>
  <c r="AD75" i="30" s="1"/>
  <c r="S75" i="30"/>
  <c r="R75" i="30"/>
  <c r="J75" i="30"/>
  <c r="O75" i="30" s="1"/>
  <c r="H75" i="30"/>
  <c r="AH74" i="30"/>
  <c r="AG74" i="30"/>
  <c r="AD74" i="30"/>
  <c r="AC74" i="30"/>
  <c r="Z74" i="30"/>
  <c r="AJ74" i="30" s="1"/>
  <c r="Y74" i="30"/>
  <c r="AI74" i="30" s="1"/>
  <c r="X74" i="30"/>
  <c r="W74" i="30"/>
  <c r="V74" i="30"/>
  <c r="AF74" i="30" s="1"/>
  <c r="U74" i="30"/>
  <c r="AE74" i="30" s="1"/>
  <c r="T74" i="30"/>
  <c r="S74" i="30"/>
  <c r="R74" i="30"/>
  <c r="AB74" i="30" s="1"/>
  <c r="O74" i="30"/>
  <c r="J74" i="30"/>
  <c r="H74" i="30"/>
  <c r="AI73" i="30"/>
  <c r="AH73" i="30"/>
  <c r="AE73" i="30"/>
  <c r="AD73" i="30"/>
  <c r="Z73" i="30"/>
  <c r="AJ73" i="30" s="1"/>
  <c r="Y73" i="30"/>
  <c r="X73" i="30"/>
  <c r="W73" i="30"/>
  <c r="AG73" i="30" s="1"/>
  <c r="V73" i="30"/>
  <c r="AF73" i="30" s="1"/>
  <c r="U73" i="30"/>
  <c r="T73" i="30"/>
  <c r="S73" i="30"/>
  <c r="AC73" i="30" s="1"/>
  <c r="R73" i="30"/>
  <c r="AB73" i="30" s="1"/>
  <c r="O73" i="30"/>
  <c r="J73" i="30"/>
  <c r="H73" i="30"/>
  <c r="AJ72" i="30"/>
  <c r="AI72" i="30"/>
  <c r="AF72" i="30"/>
  <c r="AE72" i="30"/>
  <c r="AB72" i="30"/>
  <c r="Z72" i="30"/>
  <c r="Y72" i="30"/>
  <c r="X72" i="30"/>
  <c r="AH72" i="30" s="1"/>
  <c r="W72" i="30"/>
  <c r="AG72" i="30" s="1"/>
  <c r="V72" i="30"/>
  <c r="U72" i="30"/>
  <c r="T72" i="30"/>
  <c r="AD72" i="30" s="1"/>
  <c r="S72" i="30"/>
  <c r="AC72" i="30" s="1"/>
  <c r="R72" i="30"/>
  <c r="J72" i="30"/>
  <c r="O72" i="30" s="1"/>
  <c r="H72" i="30"/>
  <c r="E71" i="30"/>
  <c r="X61" i="30"/>
  <c r="K61" i="30"/>
  <c r="O61" i="30" s="1"/>
  <c r="X60" i="30"/>
  <c r="K60" i="30"/>
  <c r="O60" i="30" s="1"/>
  <c r="X59" i="30"/>
  <c r="O59" i="30"/>
  <c r="K59" i="30"/>
  <c r="X58" i="30"/>
  <c r="O58" i="30"/>
  <c r="K58" i="30"/>
  <c r="X57" i="30"/>
  <c r="K57" i="30"/>
  <c r="O57" i="30" s="1"/>
  <c r="X56" i="30"/>
  <c r="K56" i="30"/>
  <c r="O56" i="30" s="1"/>
  <c r="X55" i="30"/>
  <c r="O55" i="30"/>
  <c r="K55" i="30"/>
  <c r="X54" i="30"/>
  <c r="O54" i="30"/>
  <c r="X53" i="30"/>
  <c r="K53" i="30"/>
  <c r="O53" i="30" s="1"/>
  <c r="X52" i="30"/>
  <c r="O52" i="30"/>
  <c r="K52" i="30"/>
  <c r="X51" i="30"/>
  <c r="O51" i="30"/>
  <c r="K51" i="30"/>
  <c r="X50" i="30"/>
  <c r="K50" i="30"/>
  <c r="O50" i="30" s="1"/>
  <c r="X49" i="30"/>
  <c r="K49" i="30"/>
  <c r="O49" i="30" s="1"/>
  <c r="X48" i="30"/>
  <c r="O48" i="30"/>
  <c r="K48" i="30"/>
  <c r="X47" i="30"/>
  <c r="O47" i="30"/>
  <c r="K47" i="30"/>
  <c r="X46" i="30"/>
  <c r="X45" i="30"/>
  <c r="X44" i="30"/>
  <c r="X43" i="30"/>
  <c r="X42" i="30"/>
  <c r="X41" i="30"/>
  <c r="X40" i="30"/>
  <c r="X39" i="30"/>
  <c r="H39" i="30"/>
  <c r="X38" i="30"/>
  <c r="X37" i="30"/>
  <c r="X36" i="30"/>
  <c r="X35" i="30"/>
  <c r="X34" i="30"/>
  <c r="X33" i="30"/>
  <c r="X32" i="30"/>
  <c r="X31" i="30"/>
  <c r="X30" i="30"/>
  <c r="X29" i="30"/>
  <c r="X28" i="30"/>
  <c r="X27" i="30"/>
  <c r="X26" i="30"/>
  <c r="X25" i="30"/>
  <c r="X24" i="30"/>
  <c r="X23" i="30"/>
  <c r="X22" i="30"/>
  <c r="X21" i="30"/>
  <c r="X20" i="30"/>
  <c r="X19" i="30"/>
  <c r="X18" i="30"/>
  <c r="X17" i="30"/>
  <c r="X16" i="30"/>
  <c r="X15" i="30"/>
  <c r="D93" i="30" l="1"/>
  <c r="C108" i="30" s="1"/>
  <c r="C109" i="30" l="1"/>
  <c r="H12" i="30" s="1"/>
  <c r="G12" i="30"/>
  <c r="L27" i="90"/>
  <c r="L26" i="90"/>
  <c r="L25" i="90"/>
  <c r="L24" i="90"/>
  <c r="C36" i="90" l="1"/>
  <c r="G12" i="90" s="1"/>
  <c r="H6" i="52" s="1"/>
  <c r="C37" i="90" l="1"/>
  <c r="H12" i="90" s="1"/>
  <c r="H8" i="47"/>
  <c r="H17" i="89"/>
  <c r="G17" i="89"/>
  <c r="N151" i="89"/>
  <c r="N152" i="89"/>
  <c r="N153" i="89"/>
  <c r="N154" i="89"/>
  <c r="N155" i="89"/>
  <c r="N156" i="89"/>
  <c r="N157" i="89"/>
  <c r="N158" i="89"/>
  <c r="N159" i="89"/>
  <c r="N150" i="89"/>
  <c r="M203" i="89"/>
  <c r="M202" i="89"/>
  <c r="G195" i="89"/>
  <c r="G194" i="89"/>
  <c r="G193" i="89"/>
  <c r="G192" i="89"/>
  <c r="G191" i="89"/>
  <c r="G190" i="89"/>
  <c r="G189" i="89"/>
  <c r="G188" i="89"/>
  <c r="G187" i="89"/>
  <c r="G186" i="89"/>
  <c r="M167" i="89"/>
  <c r="M166" i="89"/>
  <c r="O159" i="89"/>
  <c r="H159" i="89"/>
  <c r="O158" i="89"/>
  <c r="H158" i="89"/>
  <c r="O157" i="89"/>
  <c r="H157" i="89"/>
  <c r="O156" i="89"/>
  <c r="H156" i="89"/>
  <c r="O155" i="89"/>
  <c r="H155" i="89"/>
  <c r="O154" i="89"/>
  <c r="H154" i="89"/>
  <c r="O153" i="89"/>
  <c r="H153" i="89"/>
  <c r="O152" i="89"/>
  <c r="H152" i="89"/>
  <c r="O151" i="89"/>
  <c r="H151" i="89"/>
  <c r="O150" i="89"/>
  <c r="M125" i="89"/>
  <c r="M124" i="89"/>
  <c r="G117" i="89"/>
  <c r="G116" i="89"/>
  <c r="G115" i="89"/>
  <c r="G114" i="89"/>
  <c r="G113" i="89"/>
  <c r="G112" i="89"/>
  <c r="G111" i="89"/>
  <c r="G110" i="89"/>
  <c r="G109" i="89"/>
  <c r="G108" i="89"/>
  <c r="M89" i="89"/>
  <c r="M88" i="89"/>
  <c r="G81" i="89"/>
  <c r="G80" i="89"/>
  <c r="G79" i="89"/>
  <c r="G78" i="89"/>
  <c r="G77" i="89"/>
  <c r="G76" i="89"/>
  <c r="G75" i="89"/>
  <c r="G74" i="89"/>
  <c r="G73" i="89"/>
  <c r="G72" i="89"/>
  <c r="M54" i="89"/>
  <c r="M53" i="89"/>
  <c r="G46" i="89"/>
  <c r="G45" i="89"/>
  <c r="G44" i="89"/>
  <c r="G43" i="89"/>
  <c r="G42" i="89"/>
  <c r="G41" i="89"/>
  <c r="G40" i="89"/>
  <c r="G39" i="89"/>
  <c r="G38" i="89"/>
  <c r="G37" i="89"/>
  <c r="H150" i="89" l="1"/>
  <c r="E161" i="89" s="1"/>
  <c r="C171" i="89" s="1"/>
  <c r="G15" i="89" s="1"/>
  <c r="D83" i="89"/>
  <c r="C93" i="89" s="1"/>
  <c r="G13" i="89" s="1"/>
  <c r="M13" i="89" s="1"/>
  <c r="E197" i="89"/>
  <c r="C207" i="89" s="1"/>
  <c r="G16" i="89" s="1"/>
  <c r="M16" i="89" s="1"/>
  <c r="D48" i="89"/>
  <c r="C58" i="89" s="1"/>
  <c r="C59" i="89" s="1"/>
  <c r="H12" i="89" s="1"/>
  <c r="D119" i="89"/>
  <c r="C129" i="89" s="1"/>
  <c r="G14" i="89" s="1"/>
  <c r="C94" i="89"/>
  <c r="H13" i="89" s="1"/>
  <c r="C208" i="89"/>
  <c r="H16" i="89" s="1"/>
  <c r="C133" i="29"/>
  <c r="C130" i="89" l="1"/>
  <c r="H14" i="89" s="1"/>
  <c r="M14" i="89" s="1"/>
  <c r="C172" i="89"/>
  <c r="H15" i="89" s="1"/>
  <c r="G12" i="89"/>
  <c r="M12" i="89" s="1"/>
  <c r="M15" i="89" l="1"/>
  <c r="I72" i="28"/>
  <c r="E83" i="28"/>
  <c r="E84" i="28"/>
  <c r="C167" i="8" l="1"/>
  <c r="C166" i="8"/>
  <c r="S54" i="39"/>
  <c r="S55" i="39"/>
  <c r="S56" i="39"/>
  <c r="S57" i="39"/>
  <c r="S58" i="39"/>
  <c r="S59" i="39"/>
  <c r="S60" i="39"/>
  <c r="S53" i="39"/>
  <c r="S44" i="39"/>
  <c r="S45" i="39"/>
  <c r="S46" i="39"/>
  <c r="S47" i="39"/>
  <c r="S48" i="39"/>
  <c r="S49" i="39"/>
  <c r="S43" i="39"/>
  <c r="S42" i="39"/>
  <c r="U53" i="39" l="1"/>
  <c r="U60" i="39"/>
  <c r="K60" i="39"/>
  <c r="Z60" i="39" s="1"/>
  <c r="J60" i="39"/>
  <c r="T60" i="39" s="1"/>
  <c r="W60" i="39" s="1"/>
  <c r="Y60" i="39" s="1"/>
  <c r="U59" i="39"/>
  <c r="K59" i="39"/>
  <c r="Z59" i="39" s="1"/>
  <c r="J59" i="39"/>
  <c r="V59" i="39" s="1"/>
  <c r="U58" i="39"/>
  <c r="K58" i="39"/>
  <c r="Z58" i="39" s="1"/>
  <c r="J58" i="39"/>
  <c r="T58" i="39" s="1"/>
  <c r="W58" i="39" s="1"/>
  <c r="U57" i="39"/>
  <c r="K57" i="39"/>
  <c r="Z57" i="39" s="1"/>
  <c r="J57" i="39"/>
  <c r="T57" i="39" s="1"/>
  <c r="W57" i="39" s="1"/>
  <c r="U56" i="39"/>
  <c r="K56" i="39"/>
  <c r="Z56" i="39" s="1"/>
  <c r="J56" i="39"/>
  <c r="V56" i="39" s="1"/>
  <c r="X56" i="39" s="1"/>
  <c r="U55" i="39"/>
  <c r="K55" i="39"/>
  <c r="Z55" i="39" s="1"/>
  <c r="J55" i="39"/>
  <c r="T55" i="39" s="1"/>
  <c r="W55" i="39" s="1"/>
  <c r="Y55" i="39" s="1"/>
  <c r="U54" i="39"/>
  <c r="K54" i="39"/>
  <c r="Z54" i="39" s="1"/>
  <c r="J54" i="39"/>
  <c r="T54" i="39" s="1"/>
  <c r="W54" i="39" s="1"/>
  <c r="K53" i="39"/>
  <c r="J53" i="39"/>
  <c r="V53" i="39" s="1"/>
  <c r="U49" i="39"/>
  <c r="K49" i="39"/>
  <c r="Z49" i="39" s="1"/>
  <c r="J49" i="39"/>
  <c r="T49" i="39" s="1"/>
  <c r="W49" i="39" s="1"/>
  <c r="Y49" i="39" s="1"/>
  <c r="U48" i="39"/>
  <c r="K48" i="39"/>
  <c r="Z48" i="39" s="1"/>
  <c r="J48" i="39"/>
  <c r="T48" i="39" s="1"/>
  <c r="W48" i="39" s="1"/>
  <c r="Z47" i="39"/>
  <c r="U47" i="39"/>
  <c r="K47" i="39"/>
  <c r="L47" i="39" s="1"/>
  <c r="J47" i="39"/>
  <c r="V47" i="39" s="1"/>
  <c r="X47" i="39" s="1"/>
  <c r="U46" i="39"/>
  <c r="K46" i="39"/>
  <c r="L46" i="39" s="1"/>
  <c r="J46" i="39"/>
  <c r="V46" i="39" s="1"/>
  <c r="X46" i="39" s="1"/>
  <c r="U45" i="39"/>
  <c r="N45" i="39"/>
  <c r="K45" i="39"/>
  <c r="L45" i="39" s="1"/>
  <c r="J45" i="39"/>
  <c r="V45" i="39" s="1"/>
  <c r="Z44" i="39"/>
  <c r="U44" i="39"/>
  <c r="N44" i="39"/>
  <c r="K44" i="39"/>
  <c r="L44" i="39" s="1"/>
  <c r="J44" i="39"/>
  <c r="V44" i="39" s="1"/>
  <c r="Z43" i="39"/>
  <c r="U43" i="39"/>
  <c r="K43" i="39"/>
  <c r="L43" i="39" s="1"/>
  <c r="J43" i="39"/>
  <c r="V43" i="39" s="1"/>
  <c r="X43" i="39" s="1"/>
  <c r="U42" i="39"/>
  <c r="K42" i="39"/>
  <c r="L42" i="39" s="1"/>
  <c r="J42" i="39"/>
  <c r="T42" i="39" s="1"/>
  <c r="W42" i="39" s="1"/>
  <c r="Y42" i="39" l="1"/>
  <c r="N42" i="39"/>
  <c r="N43" i="39"/>
  <c r="X45" i="39"/>
  <c r="Z45" i="39"/>
  <c r="N47" i="39"/>
  <c r="Y54" i="39"/>
  <c r="Y58" i="39"/>
  <c r="X44" i="39"/>
  <c r="N46" i="39"/>
  <c r="Y48" i="39"/>
  <c r="Z42" i="39"/>
  <c r="Z46" i="39"/>
  <c r="V48" i="39"/>
  <c r="X48" i="39" s="1"/>
  <c r="Y57" i="39"/>
  <c r="X59" i="39"/>
  <c r="X53" i="39"/>
  <c r="V49" i="39"/>
  <c r="X49" i="39" s="1"/>
  <c r="V55" i="39"/>
  <c r="X55" i="39" s="1"/>
  <c r="V57" i="39"/>
  <c r="X57" i="39" s="1"/>
  <c r="V58" i="39"/>
  <c r="X58" i="39" s="1"/>
  <c r="V60" i="39"/>
  <c r="X60" i="39" s="1"/>
  <c r="T53" i="39"/>
  <c r="W53" i="39" s="1"/>
  <c r="Y53" i="39" s="1"/>
  <c r="T56" i="39"/>
  <c r="W56" i="39" s="1"/>
  <c r="Y56" i="39" s="1"/>
  <c r="T59" i="39"/>
  <c r="W59" i="39" s="1"/>
  <c r="Y59" i="39" s="1"/>
  <c r="T43" i="39"/>
  <c r="W43" i="39" s="1"/>
  <c r="Y43" i="39" s="1"/>
  <c r="T44" i="39"/>
  <c r="W44" i="39" s="1"/>
  <c r="Y44" i="39" s="1"/>
  <c r="T45" i="39"/>
  <c r="W45" i="39" s="1"/>
  <c r="Y45" i="39" s="1"/>
  <c r="T46" i="39"/>
  <c r="W46" i="39" s="1"/>
  <c r="Y46" i="39" s="1"/>
  <c r="T47" i="39"/>
  <c r="W47" i="39" s="1"/>
  <c r="Y47" i="39" s="1"/>
  <c r="L49" i="39"/>
  <c r="L54" i="39"/>
  <c r="L55" i="39"/>
  <c r="L56" i="39"/>
  <c r="L57" i="39"/>
  <c r="L58" i="39"/>
  <c r="L59" i="39"/>
  <c r="L60" i="39"/>
  <c r="V54" i="39"/>
  <c r="X54" i="39" s="1"/>
  <c r="V42" i="39"/>
  <c r="X42" i="39" s="1"/>
  <c r="L48" i="39"/>
  <c r="N49" i="39"/>
  <c r="N53" i="39"/>
  <c r="N54" i="39"/>
  <c r="N55" i="39"/>
  <c r="N56" i="39"/>
  <c r="N57" i="39"/>
  <c r="N58" i="39"/>
  <c r="N59" i="39"/>
  <c r="N60" i="39"/>
  <c r="H24" i="10"/>
  <c r="H18" i="10"/>
  <c r="C60" i="10"/>
  <c r="C59" i="10"/>
  <c r="C94" i="10"/>
  <c r="C93" i="10"/>
  <c r="G15" i="10" s="1"/>
  <c r="C127" i="10"/>
  <c r="C126" i="10"/>
  <c r="C168" i="10"/>
  <c r="C167" i="10"/>
  <c r="C207" i="10"/>
  <c r="C206" i="10"/>
  <c r="C259" i="10"/>
  <c r="C258" i="10"/>
  <c r="C300" i="10"/>
  <c r="C299" i="10"/>
  <c r="D246" i="10"/>
  <c r="D247" i="10"/>
  <c r="D248" i="10"/>
  <c r="I242" i="10"/>
  <c r="F242" i="10"/>
  <c r="I241" i="10"/>
  <c r="F241" i="10"/>
  <c r="I240" i="10"/>
  <c r="F240" i="10"/>
  <c r="I239" i="10"/>
  <c r="F239" i="10"/>
  <c r="C134" i="29"/>
  <c r="E114" i="29"/>
  <c r="E115" i="29"/>
  <c r="E116" i="29"/>
  <c r="E117" i="29"/>
  <c r="E118" i="29"/>
  <c r="E119" i="29"/>
  <c r="E120" i="29"/>
  <c r="E121" i="29"/>
  <c r="D123" i="29"/>
  <c r="E98" i="29"/>
  <c r="E99" i="29"/>
  <c r="E100" i="29"/>
  <c r="E101" i="29"/>
  <c r="E102" i="29"/>
  <c r="E103" i="29"/>
  <c r="E104" i="29"/>
  <c r="E105" i="29"/>
  <c r="D107" i="29"/>
  <c r="D51" i="26"/>
  <c r="I32" i="8"/>
  <c r="H32" i="8"/>
  <c r="H19" i="8"/>
  <c r="H14" i="8"/>
  <c r="H23" i="8" s="1"/>
  <c r="R248" i="8"/>
  <c r="R249" i="8"/>
  <c r="K249" i="8" s="1"/>
  <c r="R250" i="8"/>
  <c r="R251" i="8"/>
  <c r="R252" i="8"/>
  <c r="R253" i="8"/>
  <c r="K253" i="8" s="1"/>
  <c r="R254" i="8"/>
  <c r="R255" i="8"/>
  <c r="R256" i="8"/>
  <c r="R247" i="8"/>
  <c r="K247" i="8" s="1"/>
  <c r="I247" i="8" s="1"/>
  <c r="E120" i="8"/>
  <c r="J141" i="8"/>
  <c r="J142" i="8"/>
  <c r="J143" i="8"/>
  <c r="J144" i="8"/>
  <c r="J145" i="8"/>
  <c r="J146" i="8"/>
  <c r="J147" i="8"/>
  <c r="J148" i="8"/>
  <c r="J149" i="8"/>
  <c r="J150" i="8"/>
  <c r="I19" i="8"/>
  <c r="I23" i="8" s="1"/>
  <c r="I14" i="8"/>
  <c r="I73" i="28"/>
  <c r="I74" i="28"/>
  <c r="I75" i="28"/>
  <c r="I76" i="28"/>
  <c r="I77" i="28"/>
  <c r="I78" i="28"/>
  <c r="I79" i="28"/>
  <c r="I80" i="28"/>
  <c r="I81" i="28"/>
  <c r="H193" i="10"/>
  <c r="G193" i="10"/>
  <c r="D193" i="10"/>
  <c r="C193" i="10"/>
  <c r="C102" i="21"/>
  <c r="H14" i="21"/>
  <c r="C133" i="21"/>
  <c r="H15" i="21"/>
  <c r="C56" i="21"/>
  <c r="H12" i="21"/>
  <c r="H16" i="21"/>
  <c r="N14" i="21"/>
  <c r="N15" i="21"/>
  <c r="N13" i="21"/>
  <c r="N12" i="21"/>
  <c r="E53" i="62"/>
  <c r="E31" i="62"/>
  <c r="C40" i="62"/>
  <c r="C41" i="62"/>
  <c r="H11" i="62"/>
  <c r="C61" i="62"/>
  <c r="C62" i="62"/>
  <c r="H12" i="62"/>
  <c r="H14" i="62"/>
  <c r="M13" i="62"/>
  <c r="G12" i="62"/>
  <c r="M12" i="62"/>
  <c r="G11" i="62"/>
  <c r="M11" i="62"/>
  <c r="M16" i="36"/>
  <c r="M13" i="36"/>
  <c r="M12" i="36"/>
  <c r="G21" i="10"/>
  <c r="G22" i="10"/>
  <c r="G14" i="10"/>
  <c r="G16" i="10"/>
  <c r="G17" i="10"/>
  <c r="G23" i="10"/>
  <c r="C274" i="8"/>
  <c r="D44" i="16"/>
  <c r="D46" i="16"/>
  <c r="C56" i="16"/>
  <c r="G12" i="16"/>
  <c r="N77" i="16"/>
  <c r="O77" i="16"/>
  <c r="E77" i="16"/>
  <c r="N78" i="16"/>
  <c r="O78" i="16"/>
  <c r="E78" i="16"/>
  <c r="N79" i="16"/>
  <c r="O79" i="16"/>
  <c r="E79" i="16"/>
  <c r="N80" i="16"/>
  <c r="O80" i="16"/>
  <c r="E80" i="16"/>
  <c r="E92" i="16"/>
  <c r="C103" i="16"/>
  <c r="G13" i="16"/>
  <c r="G14" i="16"/>
  <c r="H7" i="49"/>
  <c r="H6" i="41"/>
  <c r="F18" i="25" s="1"/>
  <c r="Q235" i="10"/>
  <c r="F235" i="10"/>
  <c r="O235" i="10"/>
  <c r="R235" i="10"/>
  <c r="T235" i="10"/>
  <c r="P235" i="10"/>
  <c r="S235" i="10"/>
  <c r="U235" i="10"/>
  <c r="I235" i="10"/>
  <c r="F236" i="10"/>
  <c r="O236" i="10"/>
  <c r="P236" i="10"/>
  <c r="R236" i="10"/>
  <c r="Q236" i="10"/>
  <c r="T236" i="10"/>
  <c r="I236" i="10"/>
  <c r="F237" i="10"/>
  <c r="O237" i="10"/>
  <c r="P237" i="10"/>
  <c r="R237" i="10"/>
  <c r="Q237" i="10"/>
  <c r="T237" i="10"/>
  <c r="I237" i="10"/>
  <c r="F238" i="10"/>
  <c r="O238" i="10"/>
  <c r="P238" i="10"/>
  <c r="R238" i="10"/>
  <c r="Q238" i="10"/>
  <c r="T238" i="10"/>
  <c r="I238" i="10"/>
  <c r="H22" i="10"/>
  <c r="N22" i="10"/>
  <c r="H23" i="10"/>
  <c r="N23" i="10"/>
  <c r="H21" i="10"/>
  <c r="N21" i="10"/>
  <c r="H15" i="10"/>
  <c r="H16" i="10"/>
  <c r="N16" i="10"/>
  <c r="H17" i="10"/>
  <c r="N17" i="10"/>
  <c r="H14" i="10"/>
  <c r="N14" i="10"/>
  <c r="N77" i="10"/>
  <c r="N78" i="10"/>
  <c r="N79" i="10"/>
  <c r="N80" i="10"/>
  <c r="N81" i="10"/>
  <c r="D83" i="10"/>
  <c r="G24" i="10"/>
  <c r="J14" i="40"/>
  <c r="J16" i="40" s="1"/>
  <c r="H7" i="41" s="1"/>
  <c r="F19" i="25" s="1"/>
  <c r="J15" i="40"/>
  <c r="L14" i="40"/>
  <c r="L15" i="40"/>
  <c r="L16" i="40" s="1"/>
  <c r="Q15" i="40"/>
  <c r="H6" i="47"/>
  <c r="L20" i="25"/>
  <c r="K14" i="28"/>
  <c r="K17" i="28"/>
  <c r="H9" i="47"/>
  <c r="L21" i="25"/>
  <c r="L8" i="25"/>
  <c r="C48" i="32"/>
  <c r="G12" i="32" s="1"/>
  <c r="H10" i="49" s="1"/>
  <c r="L11" i="25" s="1"/>
  <c r="H9" i="50"/>
  <c r="L30" i="25"/>
  <c r="E29" i="51"/>
  <c r="V12" i="57"/>
  <c r="V11" i="57"/>
  <c r="V10" i="57"/>
  <c r="V9" i="57"/>
  <c r="V8" i="57"/>
  <c r="V7" i="57"/>
  <c r="V6" i="57"/>
  <c r="D79" i="26"/>
  <c r="C89" i="26"/>
  <c r="E76" i="26"/>
  <c r="E75" i="26"/>
  <c r="N120" i="21"/>
  <c r="F120" i="21"/>
  <c r="N119" i="21"/>
  <c r="F119" i="21"/>
  <c r="N118" i="21"/>
  <c r="F118" i="21"/>
  <c r="F117" i="21"/>
  <c r="N117" i="21"/>
  <c r="C64" i="58"/>
  <c r="G196" i="8"/>
  <c r="E198" i="8" s="1"/>
  <c r="G86" i="7"/>
  <c r="G87" i="7"/>
  <c r="G88" i="7"/>
  <c r="G89" i="7"/>
  <c r="G90" i="7"/>
  <c r="G91" i="7"/>
  <c r="G92" i="7"/>
  <c r="G93" i="7"/>
  <c r="G94" i="7"/>
  <c r="G95" i="7"/>
  <c r="G96" i="7"/>
  <c r="G97" i="7"/>
  <c r="G98" i="7"/>
  <c r="G99" i="7"/>
  <c r="G85" i="7"/>
  <c r="U113" i="28"/>
  <c r="U114" i="28"/>
  <c r="U115" i="28"/>
  <c r="U116" i="28"/>
  <c r="U117" i="28"/>
  <c r="U118" i="28"/>
  <c r="U119" i="28"/>
  <c r="U120" i="28"/>
  <c r="U121" i="28"/>
  <c r="I45" i="24"/>
  <c r="I46" i="24"/>
  <c r="I47" i="24"/>
  <c r="I48" i="24"/>
  <c r="I44" i="24"/>
  <c r="V121" i="28"/>
  <c r="P121" i="28"/>
  <c r="Q121" i="28"/>
  <c r="V120" i="28"/>
  <c r="P120" i="28"/>
  <c r="Q120" i="28"/>
  <c r="V119" i="28"/>
  <c r="P119" i="28"/>
  <c r="Q119" i="28"/>
  <c r="V118" i="28"/>
  <c r="P118" i="28"/>
  <c r="Q118" i="28"/>
  <c r="V117" i="28"/>
  <c r="P117" i="28"/>
  <c r="Q117" i="28"/>
  <c r="V116" i="28"/>
  <c r="P116" i="28"/>
  <c r="Q116" i="28"/>
  <c r="V115" i="28"/>
  <c r="P115" i="28"/>
  <c r="Q115" i="28"/>
  <c r="V114" i="28"/>
  <c r="P114" i="28"/>
  <c r="Q114" i="28"/>
  <c r="V113" i="28"/>
  <c r="P113" i="28"/>
  <c r="Q113" i="28"/>
  <c r="E82" i="16"/>
  <c r="E84" i="16"/>
  <c r="E86" i="16"/>
  <c r="E88" i="16"/>
  <c r="E90" i="16"/>
  <c r="N91" i="16"/>
  <c r="O91" i="16"/>
  <c r="E91" i="16"/>
  <c r="N90" i="16"/>
  <c r="N81" i="16"/>
  <c r="N82" i="16"/>
  <c r="O82" i="16"/>
  <c r="N83" i="16"/>
  <c r="O83" i="16"/>
  <c r="E83" i="16"/>
  <c r="N84" i="16"/>
  <c r="O84" i="16"/>
  <c r="N85" i="16"/>
  <c r="N86" i="16"/>
  <c r="O86" i="16"/>
  <c r="N87" i="16"/>
  <c r="O87" i="16"/>
  <c r="E87" i="16"/>
  <c r="N88" i="16"/>
  <c r="O88" i="16"/>
  <c r="N89" i="16"/>
  <c r="O90" i="16"/>
  <c r="O81" i="16"/>
  <c r="E81" i="16"/>
  <c r="O85" i="16"/>
  <c r="E85" i="16"/>
  <c r="O89" i="16"/>
  <c r="E89" i="16"/>
  <c r="E65" i="81"/>
  <c r="E64" i="81"/>
  <c r="C75" i="81"/>
  <c r="E99" i="81"/>
  <c r="C108" i="81"/>
  <c r="C109" i="81"/>
  <c r="F130" i="40"/>
  <c r="F134" i="40"/>
  <c r="G146" i="19"/>
  <c r="H146" i="19"/>
  <c r="G147" i="19"/>
  <c r="H147" i="19"/>
  <c r="H145" i="19"/>
  <c r="G145" i="19"/>
  <c r="H140" i="19"/>
  <c r="H141" i="19"/>
  <c r="H139" i="19"/>
  <c r="G140" i="19"/>
  <c r="G141" i="19"/>
  <c r="G139" i="19"/>
  <c r="H135" i="19"/>
  <c r="H134" i="19"/>
  <c r="H133" i="19"/>
  <c r="G135" i="19"/>
  <c r="G134" i="19"/>
  <c r="G133" i="19"/>
  <c r="H129" i="19"/>
  <c r="H128" i="19"/>
  <c r="H127" i="19"/>
  <c r="G129" i="19"/>
  <c r="G128" i="19"/>
  <c r="G127" i="19"/>
  <c r="G120" i="19"/>
  <c r="H122" i="19"/>
  <c r="G122" i="19"/>
  <c r="H120" i="19"/>
  <c r="H118" i="19"/>
  <c r="G118" i="19"/>
  <c r="D54" i="58"/>
  <c r="G43" i="18"/>
  <c r="H43" i="18"/>
  <c r="D29" i="34"/>
  <c r="E156" i="36"/>
  <c r="E38" i="36"/>
  <c r="E80" i="40"/>
  <c r="D61" i="60"/>
  <c r="D60" i="60"/>
  <c r="D62" i="60" s="1"/>
  <c r="C72" i="60" s="1"/>
  <c r="C275" i="8"/>
  <c r="E80" i="8"/>
  <c r="F80" i="8"/>
  <c r="D94" i="16"/>
  <c r="C157" i="67"/>
  <c r="C101" i="21"/>
  <c r="H50" i="18"/>
  <c r="G50" i="18"/>
  <c r="H47" i="18"/>
  <c r="G47" i="18"/>
  <c r="G44" i="18"/>
  <c r="H44" i="18"/>
  <c r="N45" i="10"/>
  <c r="C61" i="26"/>
  <c r="E195" i="10"/>
  <c r="E196" i="10"/>
  <c r="G14" i="62"/>
  <c r="E99" i="67"/>
  <c r="H99" i="67"/>
  <c r="E100" i="67"/>
  <c r="H100" i="67"/>
  <c r="E101" i="67"/>
  <c r="E102" i="67"/>
  <c r="H102" i="67"/>
  <c r="E103" i="67"/>
  <c r="H103" i="67"/>
  <c r="E104" i="67"/>
  <c r="H104" i="67"/>
  <c r="E105" i="67"/>
  <c r="E106" i="67"/>
  <c r="H106" i="67"/>
  <c r="E107" i="67"/>
  <c r="H107" i="67"/>
  <c r="E98" i="67"/>
  <c r="H98" i="67"/>
  <c r="H101" i="67"/>
  <c r="H105" i="67"/>
  <c r="G58" i="74"/>
  <c r="G56" i="74"/>
  <c r="G57" i="74"/>
  <c r="G59" i="74"/>
  <c r="G60" i="74"/>
  <c r="G51" i="74"/>
  <c r="G61" i="74"/>
  <c r="G62" i="74"/>
  <c r="G55" i="74"/>
  <c r="G63" i="74"/>
  <c r="G64" i="74"/>
  <c r="G65" i="74"/>
  <c r="G52" i="74"/>
  <c r="G53" i="74"/>
  <c r="G54" i="74"/>
  <c r="E67" i="74"/>
  <c r="C77" i="74"/>
  <c r="P42" i="9"/>
  <c r="F42" i="9"/>
  <c r="E58" i="9"/>
  <c r="E57" i="9"/>
  <c r="P43" i="9"/>
  <c r="F43" i="9"/>
  <c r="E45" i="17"/>
  <c r="E44" i="17"/>
  <c r="E43" i="17"/>
  <c r="E42" i="17"/>
  <c r="E46" i="17"/>
  <c r="F41" i="9"/>
  <c r="P44" i="9"/>
  <c r="P45" i="9"/>
  <c r="P46" i="9"/>
  <c r="P47" i="9"/>
  <c r="P41" i="9"/>
  <c r="Q50" i="40"/>
  <c r="Q51" i="40"/>
  <c r="Q52" i="40"/>
  <c r="Q53" i="40"/>
  <c r="Q54" i="40"/>
  <c r="C93" i="28"/>
  <c r="C94" i="28" s="1"/>
  <c r="U112" i="28"/>
  <c r="M17" i="28"/>
  <c r="I38" i="24"/>
  <c r="G38" i="24"/>
  <c r="K38" i="24"/>
  <c r="G45" i="24"/>
  <c r="D50" i="24"/>
  <c r="C60" i="24"/>
  <c r="C47" i="36"/>
  <c r="N43" i="10"/>
  <c r="N44" i="10"/>
  <c r="N46" i="10"/>
  <c r="N47" i="10"/>
  <c r="C76" i="81"/>
  <c r="C65" i="58"/>
  <c r="H12" i="58"/>
  <c r="D29" i="58"/>
  <c r="C38" i="58"/>
  <c r="D86" i="58"/>
  <c r="C95" i="58"/>
  <c r="C96" i="58"/>
  <c r="H13" i="58"/>
  <c r="E75" i="36"/>
  <c r="C83" i="36"/>
  <c r="C115" i="36"/>
  <c r="C139" i="36"/>
  <c r="C140" i="36" s="1"/>
  <c r="H15" i="36" s="1"/>
  <c r="C166" i="36"/>
  <c r="C167" i="36"/>
  <c r="H16" i="36"/>
  <c r="D70" i="21"/>
  <c r="C79" i="21"/>
  <c r="C80" i="21"/>
  <c r="H13" i="21"/>
  <c r="D46" i="21"/>
  <c r="C55" i="21"/>
  <c r="F44" i="9"/>
  <c r="F45" i="9"/>
  <c r="F46" i="9"/>
  <c r="F47" i="9"/>
  <c r="E59" i="9"/>
  <c r="E60" i="9"/>
  <c r="E61" i="9"/>
  <c r="E62" i="9"/>
  <c r="E56" i="9"/>
  <c r="E63" i="9"/>
  <c r="F48" i="9"/>
  <c r="D68" i="9"/>
  <c r="M31" i="53"/>
  <c r="M28" i="53"/>
  <c r="M29" i="53"/>
  <c r="M30" i="53"/>
  <c r="D34" i="29"/>
  <c r="D36" i="29"/>
  <c r="C46" i="29"/>
  <c r="D64" i="29"/>
  <c r="C74" i="29"/>
  <c r="I36" i="8"/>
  <c r="C98" i="8"/>
  <c r="N111" i="10"/>
  <c r="N112" i="10"/>
  <c r="N113" i="10"/>
  <c r="N114" i="10"/>
  <c r="E150" i="10"/>
  <c r="E151" i="10"/>
  <c r="E152" i="10"/>
  <c r="E153" i="10"/>
  <c r="E154" i="10"/>
  <c r="C155" i="10"/>
  <c r="K150" i="10"/>
  <c r="K151" i="10"/>
  <c r="K152" i="10"/>
  <c r="K153" i="10"/>
  <c r="K154" i="10"/>
  <c r="H155" i="10"/>
  <c r="O150" i="10"/>
  <c r="O151" i="10"/>
  <c r="O152" i="10"/>
  <c r="O153" i="10"/>
  <c r="O154" i="10"/>
  <c r="Q49" i="40"/>
  <c r="Q48" i="40"/>
  <c r="G13" i="26"/>
  <c r="C124" i="40"/>
  <c r="C145" i="40"/>
  <c r="C146" i="40"/>
  <c r="C113" i="40"/>
  <c r="C114" i="40"/>
  <c r="V119" i="40"/>
  <c r="D113" i="40"/>
  <c r="D114" i="40"/>
  <c r="E113" i="40"/>
  <c r="E114" i="40"/>
  <c r="X119" i="40"/>
  <c r="F113" i="40"/>
  <c r="F114" i="40"/>
  <c r="Y119" i="40"/>
  <c r="G113" i="40"/>
  <c r="G114" i="40"/>
  <c r="Z120" i="40"/>
  <c r="Z118" i="40"/>
  <c r="H113" i="40"/>
  <c r="H114" i="40"/>
  <c r="AA118" i="40"/>
  <c r="I113" i="40"/>
  <c r="I114" i="40"/>
  <c r="AB118" i="40"/>
  <c r="J113" i="40"/>
  <c r="J114" i="40"/>
  <c r="AC120" i="40"/>
  <c r="K113" i="40"/>
  <c r="K114" i="40"/>
  <c r="AD118" i="40"/>
  <c r="L113" i="40"/>
  <c r="L114" i="40"/>
  <c r="M113" i="40"/>
  <c r="M114" i="40"/>
  <c r="N113" i="40"/>
  <c r="N114" i="40"/>
  <c r="Z119" i="40"/>
  <c r="W120" i="40"/>
  <c r="AE120" i="40"/>
  <c r="Z121" i="40"/>
  <c r="W122" i="40"/>
  <c r="AE122" i="40"/>
  <c r="Z123" i="40"/>
  <c r="L19" i="40"/>
  <c r="J19" i="40"/>
  <c r="F257" i="8"/>
  <c r="F196" i="8"/>
  <c r="E199" i="8" s="1"/>
  <c r="M39" i="64"/>
  <c r="M40" i="64"/>
  <c r="E50" i="64"/>
  <c r="M41" i="64"/>
  <c r="M42" i="64"/>
  <c r="M43" i="64"/>
  <c r="M44" i="64"/>
  <c r="M45" i="64"/>
  <c r="M46" i="64"/>
  <c r="M47" i="64"/>
  <c r="M48" i="64"/>
  <c r="E51" i="64"/>
  <c r="K256" i="8"/>
  <c r="K255" i="8"/>
  <c r="K254" i="8"/>
  <c r="K252" i="8"/>
  <c r="K251" i="8"/>
  <c r="K250" i="8"/>
  <c r="K248" i="8"/>
  <c r="E61" i="8"/>
  <c r="O286" i="10"/>
  <c r="O285" i="10"/>
  <c r="O284" i="10"/>
  <c r="O283" i="10"/>
  <c r="O282" i="10"/>
  <c r="H36" i="18"/>
  <c r="H37" i="18"/>
  <c r="H38" i="18"/>
  <c r="H39" i="18"/>
  <c r="H40" i="18"/>
  <c r="H41" i="18"/>
  <c r="H42" i="18"/>
  <c r="H45" i="18"/>
  <c r="H46" i="18"/>
  <c r="H48" i="18"/>
  <c r="H49" i="18"/>
  <c r="H51" i="18"/>
  <c r="H52" i="18"/>
  <c r="H53" i="18"/>
  <c r="H54" i="18"/>
  <c r="H55" i="18"/>
  <c r="H56" i="18"/>
  <c r="B61" i="60"/>
  <c r="C43" i="60"/>
  <c r="B60" i="60"/>
  <c r="C78" i="74"/>
  <c r="H12" i="74"/>
  <c r="C89" i="40"/>
  <c r="I13" i="81"/>
  <c r="E38" i="81"/>
  <c r="C48" i="81"/>
  <c r="C72" i="67"/>
  <c r="C73" i="67"/>
  <c r="D136" i="67"/>
  <c r="D137" i="67"/>
  <c r="D138" i="67"/>
  <c r="D139" i="67"/>
  <c r="D140" i="67"/>
  <c r="D141" i="67"/>
  <c r="D142" i="67"/>
  <c r="D143" i="67"/>
  <c r="D144" i="67"/>
  <c r="D135" i="67"/>
  <c r="D146" i="67"/>
  <c r="C156" i="67"/>
  <c r="S257" i="8"/>
  <c r="I248" i="8"/>
  <c r="I249" i="8"/>
  <c r="I250" i="8"/>
  <c r="I251" i="8"/>
  <c r="I252" i="8"/>
  <c r="I253" i="8"/>
  <c r="I254" i="8"/>
  <c r="I256" i="8"/>
  <c r="S253" i="8"/>
  <c r="J253" i="8" s="1"/>
  <c r="S251" i="8"/>
  <c r="J251" i="8" s="1"/>
  <c r="I255" i="8"/>
  <c r="S254" i="8"/>
  <c r="J254" i="8" s="1"/>
  <c r="Q70" i="8"/>
  <c r="G55" i="19"/>
  <c r="G58" i="19"/>
  <c r="G56" i="19"/>
  <c r="G57" i="19"/>
  <c r="G49" i="19"/>
  <c r="G52" i="19"/>
  <c r="G82" i="19"/>
  <c r="H82" i="19"/>
  <c r="G50" i="19"/>
  <c r="G51" i="19"/>
  <c r="G40" i="19"/>
  <c r="G46" i="19"/>
  <c r="G81" i="19"/>
  <c r="H81" i="19"/>
  <c r="G42" i="19"/>
  <c r="G44" i="19"/>
  <c r="G46" i="24"/>
  <c r="G47" i="24"/>
  <c r="G48" i="24"/>
  <c r="G44" i="24"/>
  <c r="I40" i="24"/>
  <c r="I39" i="24"/>
  <c r="G39" i="24"/>
  <c r="K39" i="24"/>
  <c r="G40" i="24"/>
  <c r="K40" i="24"/>
  <c r="G52" i="18"/>
  <c r="G53" i="18"/>
  <c r="G54" i="18"/>
  <c r="N116" i="21"/>
  <c r="B5" i="49"/>
  <c r="B5" i="47"/>
  <c r="B4" i="46"/>
  <c r="B4" i="45"/>
  <c r="G62" i="29"/>
  <c r="G61" i="29"/>
  <c r="Q243" i="10"/>
  <c r="Q244" i="10"/>
  <c r="S237" i="10"/>
  <c r="U237" i="10"/>
  <c r="F243" i="10"/>
  <c r="P243" i="10"/>
  <c r="S243" i="10"/>
  <c r="U243" i="10"/>
  <c r="F244" i="10"/>
  <c r="O244" i="10"/>
  <c r="S236" i="10"/>
  <c r="U236" i="10"/>
  <c r="P244" i="10"/>
  <c r="S244" i="10"/>
  <c r="U244" i="10"/>
  <c r="E65" i="61"/>
  <c r="E64" i="61"/>
  <c r="E66" i="61" s="1"/>
  <c r="C76" i="61" s="1"/>
  <c r="E51" i="66"/>
  <c r="E50" i="66" s="1"/>
  <c r="E52" i="66" s="1"/>
  <c r="C62" i="66" s="1"/>
  <c r="G12" i="66" s="1"/>
  <c r="G12" i="46"/>
  <c r="D50" i="69"/>
  <c r="D49" i="69"/>
  <c r="D51" i="69"/>
  <c r="C61" i="69"/>
  <c r="E55" i="65"/>
  <c r="E54" i="65"/>
  <c r="E56" i="65" s="1"/>
  <c r="C66" i="65" s="1"/>
  <c r="D67" i="9"/>
  <c r="C38" i="34"/>
  <c r="G12" i="47"/>
  <c r="G12" i="74"/>
  <c r="H10" i="47"/>
  <c r="L22" i="25"/>
  <c r="H287" i="10"/>
  <c r="C287" i="10"/>
  <c r="K286" i="10"/>
  <c r="E286" i="10"/>
  <c r="K285" i="10"/>
  <c r="E285" i="10"/>
  <c r="K284" i="10"/>
  <c r="E284" i="10"/>
  <c r="K283" i="10"/>
  <c r="E283" i="10"/>
  <c r="K282" i="10"/>
  <c r="K287" i="10"/>
  <c r="I289" i="10"/>
  <c r="E282" i="10"/>
  <c r="E287" i="10"/>
  <c r="D289" i="10"/>
  <c r="L40" i="72"/>
  <c r="L35" i="72"/>
  <c r="L30" i="72"/>
  <c r="L25" i="72"/>
  <c r="C63" i="72" s="1"/>
  <c r="C64" i="72" s="1"/>
  <c r="C36" i="31"/>
  <c r="E84" i="62"/>
  <c r="C43" i="63"/>
  <c r="C44" i="63" s="1"/>
  <c r="H12" i="63" s="1"/>
  <c r="C93" i="62"/>
  <c r="C94" i="62"/>
  <c r="H13" i="62"/>
  <c r="E33" i="25"/>
  <c r="G12" i="58"/>
  <c r="C33" i="33"/>
  <c r="C34" i="33" s="1"/>
  <c r="H12" i="33" s="1"/>
  <c r="C38" i="51"/>
  <c r="C39" i="51"/>
  <c r="H12" i="51"/>
  <c r="D40" i="35"/>
  <c r="C50" i="35"/>
  <c r="C62" i="26"/>
  <c r="H12" i="26"/>
  <c r="E78" i="8"/>
  <c r="F78" i="8" s="1"/>
  <c r="E79" i="8"/>
  <c r="F79" i="8" s="1"/>
  <c r="E81" i="8"/>
  <c r="F81" i="8" s="1"/>
  <c r="E82" i="8"/>
  <c r="F82" i="8" s="1"/>
  <c r="E83" i="8"/>
  <c r="F83" i="8" s="1"/>
  <c r="E77" i="8"/>
  <c r="F77" i="8" s="1"/>
  <c r="G12" i="26"/>
  <c r="C114" i="19"/>
  <c r="D114" i="19" s="1"/>
  <c r="H148" i="19"/>
  <c r="G148" i="19"/>
  <c r="G37" i="7"/>
  <c r="G38" i="7"/>
  <c r="G39" i="7"/>
  <c r="G40" i="7"/>
  <c r="G50" i="7"/>
  <c r="G36" i="7"/>
  <c r="O9" i="57"/>
  <c r="O8" i="57"/>
  <c r="O7" i="57"/>
  <c r="N290" i="55"/>
  <c r="N289" i="55"/>
  <c r="N288" i="55"/>
  <c r="N287" i="55"/>
  <c r="N286" i="55"/>
  <c r="N285" i="55"/>
  <c r="N284" i="55"/>
  <c r="N283" i="55"/>
  <c r="N282" i="55"/>
  <c r="N281" i="55"/>
  <c r="N280" i="55"/>
  <c r="N279" i="55"/>
  <c r="N278" i="55"/>
  <c r="N277" i="55"/>
  <c r="N276" i="55"/>
  <c r="N275" i="55"/>
  <c r="N274" i="55"/>
  <c r="N273" i="55"/>
  <c r="N272" i="55"/>
  <c r="N271" i="55"/>
  <c r="N270" i="55"/>
  <c r="N269" i="55"/>
  <c r="N268" i="55"/>
  <c r="N267" i="55"/>
  <c r="N266" i="55"/>
  <c r="N265" i="55"/>
  <c r="N264" i="55"/>
  <c r="N263" i="55"/>
  <c r="N262" i="55"/>
  <c r="N261" i="55"/>
  <c r="N260" i="55"/>
  <c r="N259" i="55"/>
  <c r="N258" i="55"/>
  <c r="N257" i="55"/>
  <c r="N256" i="55"/>
  <c r="N255" i="55"/>
  <c r="N254" i="55"/>
  <c r="N253" i="55"/>
  <c r="N252" i="55"/>
  <c r="N251" i="55"/>
  <c r="N250" i="55"/>
  <c r="N249" i="55"/>
  <c r="N248" i="55"/>
  <c r="N247" i="55"/>
  <c r="N246" i="55"/>
  <c r="N245" i="55"/>
  <c r="N244" i="55"/>
  <c r="N243" i="55"/>
  <c r="N242" i="55"/>
  <c r="N241" i="55"/>
  <c r="N240" i="55"/>
  <c r="N239" i="55"/>
  <c r="N238" i="55"/>
  <c r="N237" i="55"/>
  <c r="N236" i="55"/>
  <c r="N235" i="55"/>
  <c r="N234" i="55"/>
  <c r="N233" i="55"/>
  <c r="N232" i="55"/>
  <c r="N231" i="55"/>
  <c r="N230" i="55"/>
  <c r="N229" i="55"/>
  <c r="N228" i="55"/>
  <c r="N227" i="55"/>
  <c r="N224" i="55"/>
  <c r="N223" i="55"/>
  <c r="N222" i="55"/>
  <c r="N221" i="55"/>
  <c r="N220" i="55"/>
  <c r="N219" i="55"/>
  <c r="N218" i="55"/>
  <c r="N217" i="55"/>
  <c r="M209" i="55"/>
  <c r="L209" i="55"/>
  <c r="K209" i="55"/>
  <c r="J209" i="55"/>
  <c r="I209" i="55"/>
  <c r="H209" i="55"/>
  <c r="G209" i="55"/>
  <c r="F209" i="55"/>
  <c r="E209" i="55"/>
  <c r="D209" i="55"/>
  <c r="C209" i="55"/>
  <c r="B209" i="55"/>
  <c r="N209" i="55"/>
  <c r="M208" i="55"/>
  <c r="L208" i="55"/>
  <c r="K208" i="55"/>
  <c r="J208" i="55"/>
  <c r="I208" i="55"/>
  <c r="H208" i="55"/>
  <c r="G208" i="55"/>
  <c r="F208" i="55"/>
  <c r="E208" i="55"/>
  <c r="D208" i="55"/>
  <c r="C208" i="55"/>
  <c r="B208" i="55"/>
  <c r="N208" i="55"/>
  <c r="M207" i="55"/>
  <c r="L207" i="55"/>
  <c r="K207" i="55"/>
  <c r="J207" i="55"/>
  <c r="I207" i="55"/>
  <c r="H207" i="55"/>
  <c r="G207" i="55"/>
  <c r="F207" i="55"/>
  <c r="E207" i="55"/>
  <c r="D207" i="55"/>
  <c r="C207" i="55"/>
  <c r="B207" i="55"/>
  <c r="N207" i="55"/>
  <c r="M206" i="55"/>
  <c r="L206" i="55"/>
  <c r="K206" i="55"/>
  <c r="J206" i="55"/>
  <c r="I206" i="55"/>
  <c r="H206" i="55"/>
  <c r="G206" i="55"/>
  <c r="F206" i="55"/>
  <c r="E206" i="55"/>
  <c r="D206" i="55"/>
  <c r="C206" i="55"/>
  <c r="B206" i="55"/>
  <c r="N206" i="55"/>
  <c r="M205" i="55"/>
  <c r="L205" i="55"/>
  <c r="K205" i="55"/>
  <c r="J205" i="55"/>
  <c r="I205" i="55"/>
  <c r="H205" i="55"/>
  <c r="G205" i="55"/>
  <c r="F205" i="55"/>
  <c r="E205" i="55"/>
  <c r="D205" i="55"/>
  <c r="C205" i="55"/>
  <c r="B205" i="55"/>
  <c r="N205" i="55"/>
  <c r="M204" i="55"/>
  <c r="L204" i="55"/>
  <c r="K204" i="55"/>
  <c r="J204" i="55"/>
  <c r="I204" i="55"/>
  <c r="H204" i="55"/>
  <c r="G204" i="55"/>
  <c r="F204" i="55"/>
  <c r="E204" i="55"/>
  <c r="D204" i="55"/>
  <c r="C204" i="55"/>
  <c r="B204" i="55"/>
  <c r="N204" i="55"/>
  <c r="M203" i="55"/>
  <c r="L203" i="55"/>
  <c r="K203" i="55"/>
  <c r="J203" i="55"/>
  <c r="I203" i="55"/>
  <c r="H203" i="55"/>
  <c r="G203" i="55"/>
  <c r="F203" i="55"/>
  <c r="E203" i="55"/>
  <c r="D203" i="55"/>
  <c r="C203" i="55"/>
  <c r="B203" i="55"/>
  <c r="N203" i="55"/>
  <c r="M202" i="55"/>
  <c r="L202" i="55"/>
  <c r="K202" i="55"/>
  <c r="J202" i="55"/>
  <c r="I202" i="55"/>
  <c r="H202" i="55"/>
  <c r="G202" i="55"/>
  <c r="F202" i="55"/>
  <c r="E202" i="55"/>
  <c r="D202" i="55"/>
  <c r="C202" i="55"/>
  <c r="B202" i="55"/>
  <c r="N202" i="55"/>
  <c r="M201" i="55"/>
  <c r="L201" i="55"/>
  <c r="K201" i="55"/>
  <c r="J201" i="55"/>
  <c r="I201" i="55"/>
  <c r="H201" i="55"/>
  <c r="G201" i="55"/>
  <c r="F201" i="55"/>
  <c r="E201" i="55"/>
  <c r="D201" i="55"/>
  <c r="C201" i="55"/>
  <c r="B201" i="55"/>
  <c r="N201" i="55"/>
  <c r="M200" i="55"/>
  <c r="L200" i="55"/>
  <c r="K200" i="55"/>
  <c r="J200" i="55"/>
  <c r="I200" i="55"/>
  <c r="H200" i="55"/>
  <c r="G200" i="55"/>
  <c r="F200" i="55"/>
  <c r="E200" i="55"/>
  <c r="D200" i="55"/>
  <c r="C200" i="55"/>
  <c r="B200" i="55"/>
  <c r="N200" i="55"/>
  <c r="M199" i="55"/>
  <c r="L199" i="55"/>
  <c r="K199" i="55"/>
  <c r="J199" i="55"/>
  <c r="I199" i="55"/>
  <c r="H199" i="55"/>
  <c r="G199" i="55"/>
  <c r="F199" i="55"/>
  <c r="E199" i="55"/>
  <c r="D199" i="55"/>
  <c r="C199" i="55"/>
  <c r="B199" i="55"/>
  <c r="N199" i="55"/>
  <c r="M198" i="55"/>
  <c r="L198" i="55"/>
  <c r="K198" i="55"/>
  <c r="J198" i="55"/>
  <c r="I198" i="55"/>
  <c r="H198" i="55"/>
  <c r="G198" i="55"/>
  <c r="F198" i="55"/>
  <c r="E198" i="55"/>
  <c r="D198" i="55"/>
  <c r="C198" i="55"/>
  <c r="B198" i="55"/>
  <c r="N198" i="55"/>
  <c r="M197" i="55"/>
  <c r="L197" i="55"/>
  <c r="K197" i="55"/>
  <c r="J197" i="55"/>
  <c r="I197" i="55"/>
  <c r="H197" i="55"/>
  <c r="G197" i="55"/>
  <c r="F197" i="55"/>
  <c r="E197" i="55"/>
  <c r="D197" i="55"/>
  <c r="C197" i="55"/>
  <c r="B197" i="55"/>
  <c r="N197" i="55"/>
  <c r="M196" i="55"/>
  <c r="L196" i="55"/>
  <c r="K196" i="55"/>
  <c r="J196" i="55"/>
  <c r="I196" i="55"/>
  <c r="H196" i="55"/>
  <c r="G196" i="55"/>
  <c r="F196" i="55"/>
  <c r="E196" i="55"/>
  <c r="D196" i="55"/>
  <c r="C196" i="55"/>
  <c r="B196" i="55"/>
  <c r="N196" i="55"/>
  <c r="M195" i="55"/>
  <c r="L195" i="55"/>
  <c r="K195" i="55"/>
  <c r="J195" i="55"/>
  <c r="I195" i="55"/>
  <c r="H195" i="55"/>
  <c r="G195" i="55"/>
  <c r="F195" i="55"/>
  <c r="E195" i="55"/>
  <c r="D195" i="55"/>
  <c r="C195" i="55"/>
  <c r="B195" i="55"/>
  <c r="N195" i="55"/>
  <c r="M194" i="55"/>
  <c r="L194" i="55"/>
  <c r="K194" i="55"/>
  <c r="J194" i="55"/>
  <c r="I194" i="55"/>
  <c r="H194" i="55"/>
  <c r="G194" i="55"/>
  <c r="F194" i="55"/>
  <c r="E194" i="55"/>
  <c r="D194" i="55"/>
  <c r="C194" i="55"/>
  <c r="B194" i="55"/>
  <c r="N194" i="55"/>
  <c r="M193" i="55"/>
  <c r="L193" i="55"/>
  <c r="K193" i="55"/>
  <c r="J193" i="55"/>
  <c r="I193" i="55"/>
  <c r="H193" i="55"/>
  <c r="G193" i="55"/>
  <c r="F193" i="55"/>
  <c r="E193" i="55"/>
  <c r="D193" i="55"/>
  <c r="C193" i="55"/>
  <c r="B193" i="55"/>
  <c r="N193" i="55"/>
  <c r="M192" i="55"/>
  <c r="L192" i="55"/>
  <c r="K192" i="55"/>
  <c r="J192" i="55"/>
  <c r="I192" i="55"/>
  <c r="H192" i="55"/>
  <c r="G192" i="55"/>
  <c r="F192" i="55"/>
  <c r="E192" i="55"/>
  <c r="D192" i="55"/>
  <c r="C192" i="55"/>
  <c r="B192" i="55"/>
  <c r="N192" i="55"/>
  <c r="M191" i="55"/>
  <c r="L191" i="55"/>
  <c r="K191" i="55"/>
  <c r="J191" i="55"/>
  <c r="I191" i="55"/>
  <c r="H191" i="55"/>
  <c r="G191" i="55"/>
  <c r="F191" i="55"/>
  <c r="E191" i="55"/>
  <c r="D191" i="55"/>
  <c r="C191" i="55"/>
  <c r="B191" i="55"/>
  <c r="N191" i="55"/>
  <c r="M190" i="55"/>
  <c r="L190" i="55"/>
  <c r="K190" i="55"/>
  <c r="J190" i="55"/>
  <c r="I190" i="55"/>
  <c r="H190" i="55"/>
  <c r="G190" i="55"/>
  <c r="F190" i="55"/>
  <c r="E190" i="55"/>
  <c r="D190" i="55"/>
  <c r="C190" i="55"/>
  <c r="B190" i="55"/>
  <c r="N190" i="55"/>
  <c r="M189" i="55"/>
  <c r="L189" i="55"/>
  <c r="K189" i="55"/>
  <c r="J189" i="55"/>
  <c r="I189" i="55"/>
  <c r="H189" i="55"/>
  <c r="G189" i="55"/>
  <c r="F189" i="55"/>
  <c r="E189" i="55"/>
  <c r="D189" i="55"/>
  <c r="C189" i="55"/>
  <c r="B189" i="55"/>
  <c r="N189" i="55"/>
  <c r="M188" i="55"/>
  <c r="L188" i="55"/>
  <c r="K188" i="55"/>
  <c r="J188" i="55"/>
  <c r="I188" i="55"/>
  <c r="H188" i="55"/>
  <c r="G188" i="55"/>
  <c r="F188" i="55"/>
  <c r="E188" i="55"/>
  <c r="D188" i="55"/>
  <c r="C188" i="55"/>
  <c r="B188" i="55"/>
  <c r="N188" i="55"/>
  <c r="M187" i="55"/>
  <c r="L187" i="55"/>
  <c r="K187" i="55"/>
  <c r="J187" i="55"/>
  <c r="I187" i="55"/>
  <c r="H187" i="55"/>
  <c r="G187" i="55"/>
  <c r="F187" i="55"/>
  <c r="E187" i="55"/>
  <c r="D187" i="55"/>
  <c r="C187" i="55"/>
  <c r="B187" i="55"/>
  <c r="N187" i="55"/>
  <c r="M186" i="55"/>
  <c r="L186" i="55"/>
  <c r="K186" i="55"/>
  <c r="J186" i="55"/>
  <c r="I186" i="55"/>
  <c r="H186" i="55"/>
  <c r="G186" i="55"/>
  <c r="F186" i="55"/>
  <c r="E186" i="55"/>
  <c r="D186" i="55"/>
  <c r="C186" i="55"/>
  <c r="B186" i="55"/>
  <c r="N186" i="55"/>
  <c r="M185" i="55"/>
  <c r="L185" i="55"/>
  <c r="K185" i="55"/>
  <c r="J185" i="55"/>
  <c r="I185" i="55"/>
  <c r="H185" i="55"/>
  <c r="G185" i="55"/>
  <c r="F185" i="55"/>
  <c r="E185" i="55"/>
  <c r="D185" i="55"/>
  <c r="C185" i="55"/>
  <c r="B185" i="55"/>
  <c r="N185" i="55"/>
  <c r="M184" i="55"/>
  <c r="L184" i="55"/>
  <c r="K184" i="55"/>
  <c r="J184" i="55"/>
  <c r="I184" i="55"/>
  <c r="H184" i="55"/>
  <c r="G184" i="55"/>
  <c r="F184" i="55"/>
  <c r="E184" i="55"/>
  <c r="D184" i="55"/>
  <c r="C184" i="55"/>
  <c r="B184" i="55"/>
  <c r="N184" i="55"/>
  <c r="M183" i="55"/>
  <c r="L183" i="55"/>
  <c r="K183" i="55"/>
  <c r="J183" i="55"/>
  <c r="I183" i="55"/>
  <c r="H183" i="55"/>
  <c r="G183" i="55"/>
  <c r="F183" i="55"/>
  <c r="E183" i="55"/>
  <c r="D183" i="55"/>
  <c r="C183" i="55"/>
  <c r="B183" i="55"/>
  <c r="N183" i="55"/>
  <c r="M182" i="55"/>
  <c r="L182" i="55"/>
  <c r="K182" i="55"/>
  <c r="J182" i="55"/>
  <c r="I182" i="55"/>
  <c r="H182" i="55"/>
  <c r="G182" i="55"/>
  <c r="F182" i="55"/>
  <c r="E182" i="55"/>
  <c r="D182" i="55"/>
  <c r="C182" i="55"/>
  <c r="B182" i="55"/>
  <c r="N182" i="55"/>
  <c r="M181" i="55"/>
  <c r="L181" i="55"/>
  <c r="K181" i="55"/>
  <c r="J181" i="55"/>
  <c r="I181" i="55"/>
  <c r="H181" i="55"/>
  <c r="G181" i="55"/>
  <c r="F181" i="55"/>
  <c r="E181" i="55"/>
  <c r="D181" i="55"/>
  <c r="C181" i="55"/>
  <c r="B181" i="55"/>
  <c r="N181" i="55"/>
  <c r="M180" i="55"/>
  <c r="L180" i="55"/>
  <c r="K180" i="55"/>
  <c r="J180" i="55"/>
  <c r="I180" i="55"/>
  <c r="H180" i="55"/>
  <c r="G180" i="55"/>
  <c r="F180" i="55"/>
  <c r="E180" i="55"/>
  <c r="D180" i="55"/>
  <c r="C180" i="55"/>
  <c r="B180" i="55"/>
  <c r="N180" i="55"/>
  <c r="M179" i="55"/>
  <c r="L179" i="55"/>
  <c r="K179" i="55"/>
  <c r="J179" i="55"/>
  <c r="I179" i="55"/>
  <c r="H179" i="55"/>
  <c r="G179" i="55"/>
  <c r="F179" i="55"/>
  <c r="E179" i="55"/>
  <c r="D179" i="55"/>
  <c r="C179" i="55"/>
  <c r="B179" i="55"/>
  <c r="N179" i="55"/>
  <c r="M178" i="55"/>
  <c r="L178" i="55"/>
  <c r="K178" i="55"/>
  <c r="J178" i="55"/>
  <c r="I178" i="55"/>
  <c r="H178" i="55"/>
  <c r="G178" i="55"/>
  <c r="F178" i="55"/>
  <c r="E178" i="55"/>
  <c r="D178" i="55"/>
  <c r="C178" i="55"/>
  <c r="B178" i="55"/>
  <c r="N178" i="55"/>
  <c r="M177" i="55"/>
  <c r="L177" i="55"/>
  <c r="K177" i="55"/>
  <c r="J177" i="55"/>
  <c r="I177" i="55"/>
  <c r="H177" i="55"/>
  <c r="G177" i="55"/>
  <c r="F177" i="55"/>
  <c r="E177" i="55"/>
  <c r="D177" i="55"/>
  <c r="C177" i="55"/>
  <c r="B177" i="55"/>
  <c r="N177" i="55"/>
  <c r="M176" i="55"/>
  <c r="L176" i="55"/>
  <c r="K176" i="55"/>
  <c r="J176" i="55"/>
  <c r="I176" i="55"/>
  <c r="H176" i="55"/>
  <c r="G176" i="55"/>
  <c r="F176" i="55"/>
  <c r="E176" i="55"/>
  <c r="D176" i="55"/>
  <c r="C176" i="55"/>
  <c r="B176" i="55"/>
  <c r="N176" i="55"/>
  <c r="M175" i="55"/>
  <c r="L175" i="55"/>
  <c r="K175" i="55"/>
  <c r="J175" i="55"/>
  <c r="I175" i="55"/>
  <c r="H175" i="55"/>
  <c r="G175" i="55"/>
  <c r="F175" i="55"/>
  <c r="E175" i="55"/>
  <c r="D175" i="55"/>
  <c r="C175" i="55"/>
  <c r="B175" i="55"/>
  <c r="N175" i="55"/>
  <c r="M174" i="55"/>
  <c r="L174" i="55"/>
  <c r="K174" i="55"/>
  <c r="J174" i="55"/>
  <c r="I174" i="55"/>
  <c r="H174" i="55"/>
  <c r="G174" i="55"/>
  <c r="F174" i="55"/>
  <c r="E174" i="55"/>
  <c r="D174" i="55"/>
  <c r="C174" i="55"/>
  <c r="B174" i="55"/>
  <c r="N174" i="55"/>
  <c r="M173" i="55"/>
  <c r="L173" i="55"/>
  <c r="K173" i="55"/>
  <c r="J173" i="55"/>
  <c r="I173" i="55"/>
  <c r="H173" i="55"/>
  <c r="G173" i="55"/>
  <c r="F173" i="55"/>
  <c r="E173" i="55"/>
  <c r="D173" i="55"/>
  <c r="C173" i="55"/>
  <c r="B173" i="55"/>
  <c r="N173" i="55"/>
  <c r="M172" i="55"/>
  <c r="L172" i="55"/>
  <c r="K172" i="55"/>
  <c r="J172" i="55"/>
  <c r="I172" i="55"/>
  <c r="H172" i="55"/>
  <c r="G172" i="55"/>
  <c r="F172" i="55"/>
  <c r="E172" i="55"/>
  <c r="D172" i="55"/>
  <c r="C172" i="55"/>
  <c r="B172" i="55"/>
  <c r="N172" i="55"/>
  <c r="M171" i="55"/>
  <c r="L171" i="55"/>
  <c r="K171" i="55"/>
  <c r="J171" i="55"/>
  <c r="I171" i="55"/>
  <c r="H171" i="55"/>
  <c r="G171" i="55"/>
  <c r="F171" i="55"/>
  <c r="E171" i="55"/>
  <c r="D171" i="55"/>
  <c r="C171" i="55"/>
  <c r="B171" i="55"/>
  <c r="N171" i="55"/>
  <c r="M170" i="55"/>
  <c r="L170" i="55"/>
  <c r="K170" i="55"/>
  <c r="J170" i="55"/>
  <c r="I170" i="55"/>
  <c r="H170" i="55"/>
  <c r="G170" i="55"/>
  <c r="F170" i="55"/>
  <c r="E170" i="55"/>
  <c r="D170" i="55"/>
  <c r="C170" i="55"/>
  <c r="B170" i="55"/>
  <c r="N170" i="55"/>
  <c r="M169" i="55"/>
  <c r="L169" i="55"/>
  <c r="K169" i="55"/>
  <c r="J169" i="55"/>
  <c r="I169" i="55"/>
  <c r="H169" i="55"/>
  <c r="G169" i="55"/>
  <c r="F169" i="55"/>
  <c r="E169" i="55"/>
  <c r="D169" i="55"/>
  <c r="C169" i="55"/>
  <c r="B169" i="55"/>
  <c r="N169" i="55"/>
  <c r="M168" i="55"/>
  <c r="L168" i="55"/>
  <c r="K168" i="55"/>
  <c r="J168" i="55"/>
  <c r="I168" i="55"/>
  <c r="H168" i="55"/>
  <c r="G168" i="55"/>
  <c r="F168" i="55"/>
  <c r="E168" i="55"/>
  <c r="D168" i="55"/>
  <c r="C168" i="55"/>
  <c r="B168" i="55"/>
  <c r="N168" i="55"/>
  <c r="M167" i="55"/>
  <c r="L167" i="55"/>
  <c r="K167" i="55"/>
  <c r="J167" i="55"/>
  <c r="I167" i="55"/>
  <c r="H167" i="55"/>
  <c r="G167" i="55"/>
  <c r="F167" i="55"/>
  <c r="E167" i="55"/>
  <c r="D167" i="55"/>
  <c r="C167" i="55"/>
  <c r="B167" i="55"/>
  <c r="N167" i="55"/>
  <c r="M166" i="55"/>
  <c r="L166" i="55"/>
  <c r="K166" i="55"/>
  <c r="J166" i="55"/>
  <c r="I166" i="55"/>
  <c r="H166" i="55"/>
  <c r="G166" i="55"/>
  <c r="F166" i="55"/>
  <c r="E166" i="55"/>
  <c r="D166" i="55"/>
  <c r="C166" i="55"/>
  <c r="B166" i="55"/>
  <c r="N166" i="55"/>
  <c r="M165" i="55"/>
  <c r="L165" i="55"/>
  <c r="K165" i="55"/>
  <c r="J165" i="55"/>
  <c r="I165" i="55"/>
  <c r="H165" i="55"/>
  <c r="G165" i="55"/>
  <c r="F165" i="55"/>
  <c r="E165" i="55"/>
  <c r="D165" i="55"/>
  <c r="C165" i="55"/>
  <c r="B165" i="55"/>
  <c r="N165" i="55"/>
  <c r="M164" i="55"/>
  <c r="L164" i="55"/>
  <c r="K164" i="55"/>
  <c r="J164" i="55"/>
  <c r="I164" i="55"/>
  <c r="H164" i="55"/>
  <c r="G164" i="55"/>
  <c r="F164" i="55"/>
  <c r="E164" i="55"/>
  <c r="D164" i="55"/>
  <c r="C164" i="55"/>
  <c r="B164" i="55"/>
  <c r="N164" i="55"/>
  <c r="M163" i="55"/>
  <c r="L163" i="55"/>
  <c r="K163" i="55"/>
  <c r="J163" i="55"/>
  <c r="I163" i="55"/>
  <c r="H163" i="55"/>
  <c r="G163" i="55"/>
  <c r="F163" i="55"/>
  <c r="E163" i="55"/>
  <c r="D163" i="55"/>
  <c r="C163" i="55"/>
  <c r="B163" i="55"/>
  <c r="N163" i="55"/>
  <c r="M162" i="55"/>
  <c r="L162" i="55"/>
  <c r="K162" i="55"/>
  <c r="J162" i="55"/>
  <c r="I162" i="55"/>
  <c r="H162" i="55"/>
  <c r="G162" i="55"/>
  <c r="F162" i="55"/>
  <c r="E162" i="55"/>
  <c r="D162" i="55"/>
  <c r="C162" i="55"/>
  <c r="B162" i="55"/>
  <c r="N162" i="55"/>
  <c r="M161" i="55"/>
  <c r="L161" i="55"/>
  <c r="K161" i="55"/>
  <c r="J161" i="55"/>
  <c r="I161" i="55"/>
  <c r="H161" i="55"/>
  <c r="G161" i="55"/>
  <c r="F161" i="55"/>
  <c r="E161" i="55"/>
  <c r="D161" i="55"/>
  <c r="C161" i="55"/>
  <c r="B161" i="55"/>
  <c r="N161" i="55"/>
  <c r="M160" i="55"/>
  <c r="L160" i="55"/>
  <c r="K160" i="55"/>
  <c r="J160" i="55"/>
  <c r="I160" i="55"/>
  <c r="H160" i="55"/>
  <c r="G160" i="55"/>
  <c r="F160" i="55"/>
  <c r="E160" i="55"/>
  <c r="D160" i="55"/>
  <c r="C160" i="55"/>
  <c r="B160" i="55"/>
  <c r="N160" i="55"/>
  <c r="M159" i="55"/>
  <c r="L159" i="55"/>
  <c r="K159" i="55"/>
  <c r="J159" i="55"/>
  <c r="I159" i="55"/>
  <c r="H159" i="55"/>
  <c r="G159" i="55"/>
  <c r="F159" i="55"/>
  <c r="E159" i="55"/>
  <c r="D159" i="55"/>
  <c r="C159" i="55"/>
  <c r="B159" i="55"/>
  <c r="N159" i="55"/>
  <c r="M158" i="55"/>
  <c r="L158" i="55"/>
  <c r="K158" i="55"/>
  <c r="J158" i="55"/>
  <c r="I158" i="55"/>
  <c r="H158" i="55"/>
  <c r="G158" i="55"/>
  <c r="F158" i="55"/>
  <c r="E158" i="55"/>
  <c r="D158" i="55"/>
  <c r="C158" i="55"/>
  <c r="B158" i="55"/>
  <c r="N158" i="55"/>
  <c r="M157" i="55"/>
  <c r="L157" i="55"/>
  <c r="K157" i="55"/>
  <c r="J157" i="55"/>
  <c r="I157" i="55"/>
  <c r="H157" i="55"/>
  <c r="G157" i="55"/>
  <c r="F157" i="55"/>
  <c r="E157" i="55"/>
  <c r="D157" i="55"/>
  <c r="C157" i="55"/>
  <c r="B157" i="55"/>
  <c r="N157" i="55"/>
  <c r="M156" i="55"/>
  <c r="L156" i="55"/>
  <c r="K156" i="55"/>
  <c r="J156" i="55"/>
  <c r="I156" i="55"/>
  <c r="H156" i="55"/>
  <c r="G156" i="55"/>
  <c r="F156" i="55"/>
  <c r="E156" i="55"/>
  <c r="D156" i="55"/>
  <c r="C156" i="55"/>
  <c r="B156" i="55"/>
  <c r="N156" i="55"/>
  <c r="M155" i="55"/>
  <c r="L155" i="55"/>
  <c r="K155" i="55"/>
  <c r="J155" i="55"/>
  <c r="I155" i="55"/>
  <c r="H155" i="55"/>
  <c r="G155" i="55"/>
  <c r="F155" i="55"/>
  <c r="E155" i="55"/>
  <c r="D155" i="55"/>
  <c r="C155" i="55"/>
  <c r="B155" i="55"/>
  <c r="N155" i="55"/>
  <c r="M154" i="55"/>
  <c r="L154" i="55"/>
  <c r="K154" i="55"/>
  <c r="J154" i="55"/>
  <c r="I154" i="55"/>
  <c r="H154" i="55"/>
  <c r="G154" i="55"/>
  <c r="F154" i="55"/>
  <c r="E154" i="55"/>
  <c r="D154" i="55"/>
  <c r="C154" i="55"/>
  <c r="B154" i="55"/>
  <c r="N154" i="55"/>
  <c r="M153" i="55"/>
  <c r="L153" i="55"/>
  <c r="K153" i="55"/>
  <c r="J153" i="55"/>
  <c r="I153" i="55"/>
  <c r="H153" i="55"/>
  <c r="G153" i="55"/>
  <c r="F153" i="55"/>
  <c r="E153" i="55"/>
  <c r="D153" i="55"/>
  <c r="C153" i="55"/>
  <c r="B153" i="55"/>
  <c r="N153" i="55"/>
  <c r="M152" i="55"/>
  <c r="L152" i="55"/>
  <c r="K152" i="55"/>
  <c r="J152" i="55"/>
  <c r="I152" i="55"/>
  <c r="H152" i="55"/>
  <c r="G152" i="55"/>
  <c r="F152" i="55"/>
  <c r="E152" i="55"/>
  <c r="D152" i="55"/>
  <c r="C152" i="55"/>
  <c r="B152" i="55"/>
  <c r="N152" i="55"/>
  <c r="M151" i="55"/>
  <c r="L151" i="55"/>
  <c r="K151" i="55"/>
  <c r="J151" i="55"/>
  <c r="I151" i="55"/>
  <c r="H151" i="55"/>
  <c r="G151" i="55"/>
  <c r="F151" i="55"/>
  <c r="E151" i="55"/>
  <c r="D151" i="55"/>
  <c r="C151" i="55"/>
  <c r="B151" i="55"/>
  <c r="N151" i="55"/>
  <c r="M150" i="55"/>
  <c r="L150" i="55"/>
  <c r="K150" i="55"/>
  <c r="J150" i="55"/>
  <c r="I150" i="55"/>
  <c r="H150" i="55"/>
  <c r="G150" i="55"/>
  <c r="F150" i="55"/>
  <c r="E150" i="55"/>
  <c r="D150" i="55"/>
  <c r="C150" i="55"/>
  <c r="B150" i="55"/>
  <c r="N150" i="55"/>
  <c r="M149" i="55"/>
  <c r="L149" i="55"/>
  <c r="K149" i="55"/>
  <c r="J149" i="55"/>
  <c r="I149" i="55"/>
  <c r="H149" i="55"/>
  <c r="G149" i="55"/>
  <c r="F149" i="55"/>
  <c r="E149" i="55"/>
  <c r="D149" i="55"/>
  <c r="C149" i="55"/>
  <c r="B149" i="55"/>
  <c r="N149" i="55"/>
  <c r="M148" i="55"/>
  <c r="L148" i="55"/>
  <c r="K148" i="55"/>
  <c r="J148" i="55"/>
  <c r="I148" i="55"/>
  <c r="H148" i="55"/>
  <c r="G148" i="55"/>
  <c r="F148" i="55"/>
  <c r="E148" i="55"/>
  <c r="D148" i="55"/>
  <c r="C148" i="55"/>
  <c r="B148" i="55"/>
  <c r="N148" i="55"/>
  <c r="M147" i="55"/>
  <c r="L147" i="55"/>
  <c r="K147" i="55"/>
  <c r="J147" i="55"/>
  <c r="I147" i="55"/>
  <c r="H147" i="55"/>
  <c r="G147" i="55"/>
  <c r="F147" i="55"/>
  <c r="E147" i="55"/>
  <c r="D147" i="55"/>
  <c r="C147" i="55"/>
  <c r="B147" i="55"/>
  <c r="M146" i="55"/>
  <c r="L146" i="55"/>
  <c r="K146" i="55"/>
  <c r="J146" i="55"/>
  <c r="I146" i="55"/>
  <c r="H146" i="55"/>
  <c r="G146" i="55"/>
  <c r="F146" i="55"/>
  <c r="E146" i="55"/>
  <c r="D146" i="55"/>
  <c r="C146" i="55"/>
  <c r="B146" i="55"/>
  <c r="N146" i="55"/>
  <c r="N138" i="55"/>
  <c r="N137" i="55"/>
  <c r="N136" i="55"/>
  <c r="N135" i="55"/>
  <c r="N134" i="55"/>
  <c r="N133" i="55"/>
  <c r="N132" i="55"/>
  <c r="N131" i="55"/>
  <c r="N130" i="55"/>
  <c r="N129" i="55"/>
  <c r="N128" i="55"/>
  <c r="N127" i="55"/>
  <c r="N126" i="55"/>
  <c r="N125" i="55"/>
  <c r="N124" i="55"/>
  <c r="N123" i="55"/>
  <c r="N122" i="55"/>
  <c r="N121" i="55"/>
  <c r="N120" i="55"/>
  <c r="N119" i="55"/>
  <c r="N118" i="55"/>
  <c r="N117" i="55"/>
  <c r="N116" i="55"/>
  <c r="N115" i="55"/>
  <c r="N114" i="55"/>
  <c r="N113" i="55"/>
  <c r="N112" i="55"/>
  <c r="N111" i="55"/>
  <c r="N110" i="55"/>
  <c r="N109" i="55"/>
  <c r="N108" i="55"/>
  <c r="N107" i="55"/>
  <c r="N106" i="55"/>
  <c r="N105" i="55"/>
  <c r="N104" i="55"/>
  <c r="N103" i="55"/>
  <c r="N102" i="55"/>
  <c r="N101" i="55"/>
  <c r="N100" i="55"/>
  <c r="N99" i="55"/>
  <c r="N98" i="55"/>
  <c r="N97" i="55"/>
  <c r="N96" i="55"/>
  <c r="N95" i="55"/>
  <c r="N94" i="55"/>
  <c r="N93" i="55"/>
  <c r="N92" i="55"/>
  <c r="N91" i="55"/>
  <c r="N90" i="55"/>
  <c r="N89" i="55"/>
  <c r="N88" i="55"/>
  <c r="N87" i="55"/>
  <c r="N86" i="55"/>
  <c r="N85" i="55"/>
  <c r="N84" i="55"/>
  <c r="N83" i="55"/>
  <c r="N82" i="55"/>
  <c r="N81" i="55"/>
  <c r="N80" i="55"/>
  <c r="N79" i="55"/>
  <c r="N78" i="55"/>
  <c r="N77" i="55"/>
  <c r="N76" i="55"/>
  <c r="N75" i="55"/>
  <c r="N68" i="55"/>
  <c r="N67" i="55"/>
  <c r="N66" i="55"/>
  <c r="N65" i="55"/>
  <c r="N64" i="55"/>
  <c r="N63" i="55"/>
  <c r="N62" i="55"/>
  <c r="N61" i="55"/>
  <c r="N60" i="55"/>
  <c r="N59" i="55"/>
  <c r="N58" i="55"/>
  <c r="N57" i="55"/>
  <c r="N56" i="55"/>
  <c r="N55" i="55"/>
  <c r="N54" i="55"/>
  <c r="N53" i="55"/>
  <c r="N52" i="55"/>
  <c r="N51" i="55"/>
  <c r="N50" i="55"/>
  <c r="N49" i="55"/>
  <c r="N48" i="55"/>
  <c r="N47" i="55"/>
  <c r="N46" i="55"/>
  <c r="N45" i="55"/>
  <c r="N44" i="55"/>
  <c r="N43" i="55"/>
  <c r="N42" i="55"/>
  <c r="N41" i="55"/>
  <c r="N40" i="55"/>
  <c r="N39" i="55"/>
  <c r="N38" i="55"/>
  <c r="N37" i="55"/>
  <c r="N36" i="55"/>
  <c r="N35" i="55"/>
  <c r="N34" i="55"/>
  <c r="N33" i="55"/>
  <c r="N32" i="55"/>
  <c r="N31" i="55"/>
  <c r="N30" i="55"/>
  <c r="N29" i="55"/>
  <c r="N28" i="55"/>
  <c r="N27" i="55"/>
  <c r="N26" i="55"/>
  <c r="N25" i="55"/>
  <c r="N24" i="55"/>
  <c r="N23" i="55"/>
  <c r="N22" i="55"/>
  <c r="N21" i="55"/>
  <c r="N20" i="55"/>
  <c r="N19" i="55"/>
  <c r="N18" i="55"/>
  <c r="N17" i="55"/>
  <c r="N16" i="55"/>
  <c r="N15" i="55"/>
  <c r="N14" i="55"/>
  <c r="N13" i="55"/>
  <c r="N12" i="55"/>
  <c r="N11" i="55"/>
  <c r="N10" i="55"/>
  <c r="N9" i="55"/>
  <c r="N8" i="55"/>
  <c r="N7" i="55"/>
  <c r="N6" i="55"/>
  <c r="N5" i="55"/>
  <c r="N147" i="55"/>
  <c r="B4" i="52"/>
  <c r="G8" i="52"/>
  <c r="G10" i="50"/>
  <c r="G14" i="49"/>
  <c r="G10" i="41"/>
  <c r="G13" i="45"/>
  <c r="B4" i="41"/>
  <c r="F60" i="34"/>
  <c r="G60" i="34"/>
  <c r="F59" i="34"/>
  <c r="G59" i="34"/>
  <c r="D62" i="34"/>
  <c r="C72" i="34"/>
  <c r="E40" i="17"/>
  <c r="E41" i="17"/>
  <c r="E47" i="17"/>
  <c r="E48" i="17"/>
  <c r="E39" i="17"/>
  <c r="F36" i="17"/>
  <c r="C49" i="17"/>
  <c r="E22" i="25"/>
  <c r="C40" i="37"/>
  <c r="F12" i="25"/>
  <c r="D63" i="9"/>
  <c r="E48" i="9"/>
  <c r="F70" i="9"/>
  <c r="D64" i="9"/>
  <c r="C41" i="37"/>
  <c r="H12" i="37" s="1"/>
  <c r="K24" i="25"/>
  <c r="E38" i="25"/>
  <c r="K15" i="25"/>
  <c r="K31" i="25"/>
  <c r="E14" i="25"/>
  <c r="P31" i="25"/>
  <c r="N8" i="57"/>
  <c r="G68" i="19"/>
  <c r="G69" i="19"/>
  <c r="F68" i="19"/>
  <c r="F69" i="19"/>
  <c r="F67" i="19"/>
  <c r="G63" i="19"/>
  <c r="G62" i="19"/>
  <c r="G61" i="19"/>
  <c r="G64" i="19"/>
  <c r="E260" i="8"/>
  <c r="G67" i="19"/>
  <c r="G70" i="19"/>
  <c r="G84" i="19"/>
  <c r="H84" i="19"/>
  <c r="G37" i="18"/>
  <c r="G38" i="18"/>
  <c r="G39" i="18"/>
  <c r="G40" i="18"/>
  <c r="G41" i="18"/>
  <c r="G42" i="18"/>
  <c r="G45" i="18"/>
  <c r="G46" i="18"/>
  <c r="G48" i="18"/>
  <c r="G49" i="18"/>
  <c r="G51" i="18"/>
  <c r="G55" i="18"/>
  <c r="G36" i="18"/>
  <c r="G56" i="18"/>
  <c r="I257" i="8"/>
  <c r="G12" i="51"/>
  <c r="H8" i="50"/>
  <c r="L29" i="25"/>
  <c r="E122" i="21"/>
  <c r="C132" i="21"/>
  <c r="G15" i="21"/>
  <c r="D101" i="7"/>
  <c r="C43" i="67"/>
  <c r="C44" i="67"/>
  <c r="H11" i="67" s="1"/>
  <c r="H14" i="67" s="1"/>
  <c r="V112" i="28"/>
  <c r="P112" i="28"/>
  <c r="Q112" i="28"/>
  <c r="E123" i="28"/>
  <c r="E124" i="28"/>
  <c r="C134" i="28"/>
  <c r="C135" i="28"/>
  <c r="C61" i="24"/>
  <c r="H12" i="24"/>
  <c r="G12" i="24"/>
  <c r="H7" i="47"/>
  <c r="L19" i="25"/>
  <c r="AD123" i="40"/>
  <c r="V123" i="40"/>
  <c r="AA122" i="40"/>
  <c r="AD121" i="40"/>
  <c r="V121" i="40"/>
  <c r="AA120" i="40"/>
  <c r="AD119" i="40"/>
  <c r="AG121" i="40"/>
  <c r="AF119" i="40"/>
  <c r="V118" i="40"/>
  <c r="E55" i="40"/>
  <c r="C64" i="40"/>
  <c r="G15" i="34"/>
  <c r="C73" i="34"/>
  <c r="H15" i="34"/>
  <c r="C39" i="34"/>
  <c r="H14" i="34"/>
  <c r="G51" i="7"/>
  <c r="D53" i="7"/>
  <c r="E53" i="7"/>
  <c r="C63" i="7"/>
  <c r="S256" i="8"/>
  <c r="J256" i="8" s="1"/>
  <c r="S255" i="8"/>
  <c r="J255" i="8"/>
  <c r="G13" i="36"/>
  <c r="C84" i="36"/>
  <c r="H13" i="36"/>
  <c r="S252" i="8"/>
  <c r="J252" i="8"/>
  <c r="G12" i="69"/>
  <c r="H11" i="46"/>
  <c r="F32" i="25"/>
  <c r="C62" i="69"/>
  <c r="H12" i="69"/>
  <c r="G14" i="34"/>
  <c r="H9" i="45"/>
  <c r="F10" i="25"/>
  <c r="F58" i="18"/>
  <c r="C68" i="18"/>
  <c r="C69" i="18"/>
  <c r="H12" i="18"/>
  <c r="G12" i="21"/>
  <c r="G15" i="36"/>
  <c r="M15" i="36" s="1"/>
  <c r="E52" i="64"/>
  <c r="C62" i="64"/>
  <c r="G12" i="64"/>
  <c r="H8" i="46"/>
  <c r="F29" i="25"/>
  <c r="G14" i="21"/>
  <c r="G13" i="21"/>
  <c r="G58" i="18"/>
  <c r="M14" i="28"/>
  <c r="G12" i="33"/>
  <c r="H12" i="49"/>
  <c r="L13" i="25" s="1"/>
  <c r="G12" i="31"/>
  <c r="H11" i="49" s="1"/>
  <c r="L12" i="25" s="1"/>
  <c r="C37" i="31"/>
  <c r="H12" i="31" s="1"/>
  <c r="G16" i="36"/>
  <c r="G12" i="36"/>
  <c r="C48" i="36"/>
  <c r="H12" i="36"/>
  <c r="G83" i="19"/>
  <c r="H83" i="19"/>
  <c r="H14" i="19"/>
  <c r="C43" i="53"/>
  <c r="G12" i="53" s="1"/>
  <c r="H8" i="41" s="1"/>
  <c r="F20" i="25" s="1"/>
  <c r="C44" i="53"/>
  <c r="H12" i="53"/>
  <c r="S248" i="8"/>
  <c r="J248" i="8" s="1"/>
  <c r="S250" i="8"/>
  <c r="J250" i="8"/>
  <c r="C99" i="8"/>
  <c r="H6" i="49"/>
  <c r="L7" i="25"/>
  <c r="G14" i="26"/>
  <c r="O114" i="40"/>
  <c r="AF123" i="40"/>
  <c r="AB123" i="40"/>
  <c r="X123" i="40"/>
  <c r="AG122" i="40"/>
  <c r="AC122" i="40"/>
  <c r="Y122" i="40"/>
  <c r="AF121" i="40"/>
  <c r="AB121" i="40"/>
  <c r="X121" i="40"/>
  <c r="AG120" i="40"/>
  <c r="Y120" i="40"/>
  <c r="AB119" i="40"/>
  <c r="AF118" i="40"/>
  <c r="AE118" i="40"/>
  <c r="AD120" i="40"/>
  <c r="AC119" i="40"/>
  <c r="X118" i="40"/>
  <c r="W118" i="40"/>
  <c r="Y118" i="40"/>
  <c r="AC118" i="40"/>
  <c r="AG118" i="40"/>
  <c r="AH118" i="40"/>
  <c r="J118" i="40"/>
  <c r="V120" i="40"/>
  <c r="O113" i="40"/>
  <c r="AG123" i="40"/>
  <c r="AE123" i="40"/>
  <c r="AC123" i="40"/>
  <c r="AA123" i="40"/>
  <c r="Y123" i="40"/>
  <c r="W123" i="40"/>
  <c r="AF122" i="40"/>
  <c r="AD122" i="40"/>
  <c r="AB122" i="40"/>
  <c r="Z122" i="40"/>
  <c r="X122" i="40"/>
  <c r="V122" i="40"/>
  <c r="AE121" i="40"/>
  <c r="AC121" i="40"/>
  <c r="AA121" i="40"/>
  <c r="Y121" i="40"/>
  <c r="W121" i="40"/>
  <c r="AF120" i="40"/>
  <c r="AB120" i="40"/>
  <c r="X120" i="40"/>
  <c r="AE119" i="40"/>
  <c r="AA119" i="40"/>
  <c r="W119" i="40"/>
  <c r="C65" i="40"/>
  <c r="C90" i="40"/>
  <c r="AG119" i="40"/>
  <c r="K155" i="10"/>
  <c r="I157" i="10"/>
  <c r="E155" i="10"/>
  <c r="D157" i="10"/>
  <c r="D49" i="10"/>
  <c r="S238" i="10"/>
  <c r="U238" i="10"/>
  <c r="D116" i="10"/>
  <c r="R244" i="10"/>
  <c r="T244" i="10"/>
  <c r="I244" i="10"/>
  <c r="O243" i="10"/>
  <c r="C90" i="26"/>
  <c r="H13" i="26"/>
  <c r="H14" i="26"/>
  <c r="D109" i="67"/>
  <c r="C119" i="67"/>
  <c r="H12" i="81"/>
  <c r="I12" i="81"/>
  <c r="C49" i="81"/>
  <c r="I11" i="81"/>
  <c r="H11" i="81"/>
  <c r="H13" i="81"/>
  <c r="G11" i="58"/>
  <c r="C39" i="58"/>
  <c r="H11" i="58"/>
  <c r="G13" i="58"/>
  <c r="H13" i="67"/>
  <c r="G13" i="67"/>
  <c r="E70" i="9"/>
  <c r="C80" i="9"/>
  <c r="G12" i="9"/>
  <c r="H8" i="49"/>
  <c r="L9" i="25"/>
  <c r="E49" i="17"/>
  <c r="G13" i="62"/>
  <c r="G12" i="35"/>
  <c r="H6" i="50"/>
  <c r="L27" i="25"/>
  <c r="C51" i="35"/>
  <c r="H12" i="35"/>
  <c r="C57" i="16"/>
  <c r="H12" i="16"/>
  <c r="S247" i="8"/>
  <c r="J247" i="8" s="1"/>
  <c r="G12" i="37"/>
  <c r="D51" i="17"/>
  <c r="C61" i="17"/>
  <c r="G12" i="17"/>
  <c r="H9" i="49"/>
  <c r="L10" i="25"/>
  <c r="C81" i="9"/>
  <c r="H12" i="9"/>
  <c r="I14" i="81"/>
  <c r="G11" i="67"/>
  <c r="C111" i="7"/>
  <c r="C112" i="7"/>
  <c r="H17" i="7"/>
  <c r="H14" i="81"/>
  <c r="AH120" i="40"/>
  <c r="J120" i="40"/>
  <c r="AH121" i="40"/>
  <c r="J121" i="40"/>
  <c r="C163" i="19"/>
  <c r="C164" i="19"/>
  <c r="I20" i="19" s="1"/>
  <c r="C64" i="7"/>
  <c r="H14" i="7"/>
  <c r="G14" i="7"/>
  <c r="G12" i="67"/>
  <c r="C120" i="67"/>
  <c r="H12" i="67"/>
  <c r="G12" i="18"/>
  <c r="H10" i="45"/>
  <c r="F11" i="25"/>
  <c r="C86" i="19"/>
  <c r="C87" i="19"/>
  <c r="I14" i="19"/>
  <c r="C63" i="64"/>
  <c r="H12" i="64"/>
  <c r="H5" i="49"/>
  <c r="L6" i="25"/>
  <c r="G16" i="21"/>
  <c r="AH119" i="40"/>
  <c r="J119" i="40"/>
  <c r="AH122" i="40"/>
  <c r="J122" i="40"/>
  <c r="AH123" i="40"/>
  <c r="J123" i="40"/>
  <c r="R243" i="10"/>
  <c r="T243" i="10"/>
  <c r="I243" i="10"/>
  <c r="H9" i="41"/>
  <c r="F21" i="25"/>
  <c r="H12" i="45"/>
  <c r="F13" i="25"/>
  <c r="C62" i="17"/>
  <c r="H12" i="17"/>
  <c r="G14" i="67"/>
  <c r="G17" i="7"/>
  <c r="H8" i="45"/>
  <c r="F9" i="25"/>
  <c r="H20" i="19"/>
  <c r="C104" i="16"/>
  <c r="H13" i="16"/>
  <c r="H14" i="16"/>
  <c r="H11" i="47"/>
  <c r="L23" i="25" s="1"/>
  <c r="J124" i="40"/>
  <c r="C75" i="29"/>
  <c r="H13" i="29"/>
  <c r="G13" i="29"/>
  <c r="N13" i="29"/>
  <c r="C47" i="29"/>
  <c r="H12" i="29"/>
  <c r="G12" i="29"/>
  <c r="G14" i="29"/>
  <c r="H5" i="45" s="1"/>
  <c r="F6" i="25" s="1"/>
  <c r="H14" i="29"/>
  <c r="N12" i="29"/>
  <c r="H15" i="29"/>
  <c r="C67" i="65" l="1"/>
  <c r="H12" i="65" s="1"/>
  <c r="G12" i="65"/>
  <c r="H9" i="46" s="1"/>
  <c r="F30" i="25" s="1"/>
  <c r="C49" i="32"/>
  <c r="H12" i="32" s="1"/>
  <c r="G12" i="63"/>
  <c r="H13" i="49" s="1"/>
  <c r="Q14" i="40"/>
  <c r="F22" i="25"/>
  <c r="T7" i="57" s="1"/>
  <c r="C213" i="8"/>
  <c r="S249" i="8"/>
  <c r="J249" i="8" s="1"/>
  <c r="J257" i="8" s="1"/>
  <c r="E259" i="8" s="1"/>
  <c r="F152" i="8"/>
  <c r="G18" i="10"/>
  <c r="H6" i="45"/>
  <c r="F7" i="25" s="1"/>
  <c r="N15" i="10"/>
  <c r="G130" i="19"/>
  <c r="G142" i="19"/>
  <c r="H10" i="41"/>
  <c r="H124" i="19"/>
  <c r="D151" i="19" s="1"/>
  <c r="H130" i="19"/>
  <c r="G136" i="19"/>
  <c r="H142" i="19"/>
  <c r="G124" i="19"/>
  <c r="H136" i="19"/>
  <c r="H26" i="8"/>
  <c r="H36" i="8" s="1"/>
  <c r="H7" i="45" s="1"/>
  <c r="C214" i="8"/>
  <c r="I26" i="8" s="1"/>
  <c r="C116" i="36"/>
  <c r="H14" i="36" s="1"/>
  <c r="H17" i="36" s="1"/>
  <c r="G14" i="36"/>
  <c r="S7" i="57"/>
  <c r="U7" i="57" s="1"/>
  <c r="L18" i="25"/>
  <c r="L24" i="25" s="1"/>
  <c r="T9" i="57" s="1"/>
  <c r="S9" i="57" s="1"/>
  <c r="U9" i="57" s="1"/>
  <c r="H12" i="47"/>
  <c r="H12" i="72"/>
  <c r="G12" i="72"/>
  <c r="H7" i="52" s="1"/>
  <c r="F37" i="25" s="1"/>
  <c r="F84" i="8"/>
  <c r="G15" i="29"/>
  <c r="N14" i="29"/>
  <c r="L53" i="39"/>
  <c r="Z53" i="39"/>
  <c r="C77" i="61"/>
  <c r="H12" i="61" s="1"/>
  <c r="G12" i="61"/>
  <c r="H7" i="46" s="1"/>
  <c r="F28" i="25" s="1"/>
  <c r="C73" i="60"/>
  <c r="H12" i="60" s="1"/>
  <c r="G12" i="60"/>
  <c r="H6" i="46" s="1"/>
  <c r="H10" i="46"/>
  <c r="F31" i="25" s="1"/>
  <c r="C63" i="66"/>
  <c r="H12" i="66" s="1"/>
  <c r="H14" i="49" l="1"/>
  <c r="L14" i="25"/>
  <c r="L15" i="25" s="1"/>
  <c r="T10" i="57" s="1"/>
  <c r="S18" i="57" s="1"/>
  <c r="D150" i="19"/>
  <c r="E153" i="19" s="1"/>
  <c r="F8" i="25"/>
  <c r="F14" i="25" s="1"/>
  <c r="T6" i="57" s="1"/>
  <c r="S6" i="57" s="1"/>
  <c r="U6" i="57" s="1"/>
  <c r="H13" i="45"/>
  <c r="M14" i="36"/>
  <c r="G17" i="36"/>
  <c r="H7" i="50"/>
  <c r="H8" i="52"/>
  <c r="F36" i="25"/>
  <c r="H12" i="46"/>
  <c r="F27" i="25"/>
  <c r="F33" i="25" s="1"/>
  <c r="F38" i="25" l="1"/>
  <c r="T12" i="57" s="1"/>
  <c r="S10" i="57"/>
  <c r="U10" i="57" s="1"/>
  <c r="L28" i="25"/>
  <c r="L31" i="25" s="1"/>
  <c r="T11" i="57" s="1"/>
  <c r="S19" i="57" s="1"/>
  <c r="H10" i="50"/>
  <c r="T8" i="57"/>
  <c r="S16" i="57" s="1"/>
  <c r="S12" i="57" l="1"/>
  <c r="U12" i="57" s="1"/>
  <c r="P32" i="25"/>
  <c r="N6" i="57" s="1"/>
  <c r="S11" i="57"/>
  <c r="U11" i="57" s="1"/>
  <c r="S8" i="57"/>
  <c r="U8" i="57" s="1"/>
  <c r="S20" i="57" l="1"/>
  <c r="S31" i="25"/>
  <c r="G4" i="57"/>
  <c r="O13" i="57"/>
  <c r="O15" i="57" s="1"/>
  <c r="N7" i="57"/>
</calcChain>
</file>

<file path=xl/comments1.xml><?xml version="1.0" encoding="utf-8"?>
<comments xmlns="http://schemas.openxmlformats.org/spreadsheetml/2006/main">
  <authors>
    <author>Xav</author>
  </authors>
  <commentList>
    <comment ref="B114" authorId="0">
      <text>
        <r>
          <rPr>
            <sz val="9"/>
            <color indexed="81"/>
            <rFont val="Tahoma"/>
            <family val="2"/>
          </rPr>
          <t>Monthly effective rainfall values calculated without using daily rainfall data.
If daily rainfall data is available, it is encouraged to override the values in the table.</t>
        </r>
      </text>
    </comment>
  </commentList>
</comments>
</file>

<file path=xl/comments2.xml><?xml version="1.0" encoding="utf-8"?>
<comments xmlns="http://schemas.openxmlformats.org/spreadsheetml/2006/main">
  <authors>
    <author xml:space="preserve">xavier </author>
  </authors>
  <commentList>
    <comment ref="K40" authorId="0">
      <text>
        <r>
          <rPr>
            <sz val="9"/>
            <color indexed="81"/>
            <rFont val="Tahoma"/>
            <family val="2"/>
          </rPr>
          <t>As completed in the Project Information sheet.</t>
        </r>
      </text>
    </comment>
  </commentList>
</comments>
</file>

<file path=xl/sharedStrings.xml><?xml version="1.0" encoding="utf-8"?>
<sst xmlns="http://schemas.openxmlformats.org/spreadsheetml/2006/main" count="5575" uniqueCount="2441">
  <si>
    <t>Local Environment</t>
  </si>
  <si>
    <t>LE-1 Site Selection</t>
  </si>
  <si>
    <t xml:space="preserve">LE-2 Site Design </t>
  </si>
  <si>
    <t>Yes</t>
  </si>
  <si>
    <t>LE-3 Vegetation</t>
  </si>
  <si>
    <t>LE-4 Heat Island Effect</t>
  </si>
  <si>
    <t>For 1 point, 30% of the paved and roof area limits the heat island effect 
For 2 points, 50% of the paved and roof area limits the heat island effect</t>
  </si>
  <si>
    <t>Prepare a local flood risk identification statement for the site
-AND-
Implement flood risk mitigation strategies if required</t>
  </si>
  <si>
    <t xml:space="preserve">For 1 point, Average perviousness of the site is at least 30% 
For 2 points, Average perviousness of the site is at least 50% </t>
  </si>
  <si>
    <t>No</t>
  </si>
  <si>
    <t>Perform an Eco-Charrette</t>
  </si>
  <si>
    <t>Health &amp; Comfort</t>
  </si>
  <si>
    <t>H-1 Fresh Air Supply</t>
  </si>
  <si>
    <t>H-2 Ventilation in Wet Areas</t>
  </si>
  <si>
    <t>H-3 Hazardous Materials</t>
  </si>
  <si>
    <t>Performance Path</t>
  </si>
  <si>
    <t>Prescriptive Path</t>
  </si>
  <si>
    <t>E-1 Passive Design</t>
  </si>
  <si>
    <t>E-2 Building Envelope</t>
  </si>
  <si>
    <t>E-3 Home cooling</t>
  </si>
  <si>
    <t>Strategy A: Natural cooling</t>
  </si>
  <si>
    <t>Strategy B: Mechanical cooling with air-conditioning system</t>
  </si>
  <si>
    <t>E-4 Artificial Lighting</t>
  </si>
  <si>
    <t>For 1 point, 40% of appliances and equipment installed have an energy efficiency label
1 point for every additional 20% of appliances and equipment installed that have an energy efficiency label (up to 80%)</t>
  </si>
  <si>
    <t>Install a home energy monitor to record electricity consumption</t>
  </si>
  <si>
    <t>Results</t>
  </si>
  <si>
    <t>Calculations</t>
  </si>
  <si>
    <r>
      <t>Gross Lighted Floor Area  (m</t>
    </r>
    <r>
      <rPr>
        <vertAlign val="superscript"/>
        <sz val="10"/>
        <color theme="0"/>
        <rFont val="Arial"/>
        <family val="2"/>
      </rPr>
      <t>2</t>
    </r>
    <r>
      <rPr>
        <sz val="10"/>
        <color theme="0"/>
        <rFont val="Arial"/>
        <family val="2"/>
      </rPr>
      <t>)</t>
    </r>
  </si>
  <si>
    <t>Light fixture type</t>
  </si>
  <si>
    <t>Quantity</t>
  </si>
  <si>
    <t>Individual Power (W)</t>
  </si>
  <si>
    <t>Additional power (W)</t>
  </si>
  <si>
    <t>Total power (W)</t>
  </si>
  <si>
    <t>Details</t>
  </si>
  <si>
    <t>Water</t>
  </si>
  <si>
    <t>W-1 Water Efficient Fixtures</t>
  </si>
  <si>
    <t>W-2 Water Efficient Landscaping</t>
  </si>
  <si>
    <t>COP improvement compared to the VBEEC (%)</t>
  </si>
  <si>
    <t>% of the paved and roof area that limits heat island effect</t>
  </si>
  <si>
    <t>slope</t>
  </si>
  <si>
    <t>low slope</t>
  </si>
  <si>
    <r>
      <t>Area covered with mechanical equipment (m</t>
    </r>
    <r>
      <rPr>
        <vertAlign val="superscript"/>
        <sz val="10"/>
        <color theme="0"/>
        <rFont val="Arial"/>
        <family val="2"/>
      </rPr>
      <t>2</t>
    </r>
    <r>
      <rPr>
        <sz val="10"/>
        <color theme="0"/>
        <rFont val="Arial"/>
        <family val="2"/>
      </rPr>
      <t>)</t>
    </r>
  </si>
  <si>
    <t>Surface type</t>
  </si>
  <si>
    <r>
      <t>Area (m</t>
    </r>
    <r>
      <rPr>
        <vertAlign val="superscript"/>
        <sz val="10"/>
        <color indexed="9"/>
        <rFont val="Arial"/>
        <family val="2"/>
      </rPr>
      <t>2</t>
    </r>
    <r>
      <rPr>
        <sz val="10"/>
        <color indexed="9"/>
        <rFont val="Arial"/>
        <family val="2"/>
      </rPr>
      <t>)</t>
    </r>
  </si>
  <si>
    <t xml:space="preserve">Slope of the roof </t>
  </si>
  <si>
    <t>Limit heat island effect?</t>
  </si>
  <si>
    <r>
      <t>Compliant area (m</t>
    </r>
    <r>
      <rPr>
        <vertAlign val="superscript"/>
        <sz val="10"/>
        <color indexed="9"/>
        <rFont val="Arial"/>
        <family val="2"/>
      </rPr>
      <t>2</t>
    </r>
    <r>
      <rPr>
        <sz val="10"/>
        <color indexed="9"/>
        <rFont val="Arial"/>
        <family val="2"/>
      </rPr>
      <t>)</t>
    </r>
  </si>
  <si>
    <t>Limit roof</t>
  </si>
  <si>
    <t>Green roof</t>
  </si>
  <si>
    <t>Solar panels</t>
  </si>
  <si>
    <t>Limit paving</t>
  </si>
  <si>
    <t>Building Envelope</t>
  </si>
  <si>
    <t xml:space="preserve">WWR on east and west facades (%) </t>
  </si>
  <si>
    <t xml:space="preserve">Average SHGC of glazing </t>
  </si>
  <si>
    <t>Project information</t>
  </si>
  <si>
    <t>LOTUS Homes Scorecard</t>
  </si>
  <si>
    <t>Points</t>
  </si>
  <si>
    <t>Energy</t>
  </si>
  <si>
    <t>Passive Design</t>
  </si>
  <si>
    <t>M-1</t>
  </si>
  <si>
    <t>LE-1</t>
  </si>
  <si>
    <t>Site Selection</t>
  </si>
  <si>
    <t>E-1</t>
  </si>
  <si>
    <t>M-2</t>
  </si>
  <si>
    <t>LE-2</t>
  </si>
  <si>
    <t xml:space="preserve">Site Design </t>
  </si>
  <si>
    <t>E-2</t>
  </si>
  <si>
    <t>M-3</t>
  </si>
  <si>
    <t>LE-3</t>
  </si>
  <si>
    <t>Heat Island Effect</t>
  </si>
  <si>
    <t>E-3</t>
  </si>
  <si>
    <t>M-4</t>
  </si>
  <si>
    <t>LE-4</t>
  </si>
  <si>
    <t>E-4</t>
  </si>
  <si>
    <t>Artificial Lighting</t>
  </si>
  <si>
    <t>M-5</t>
  </si>
  <si>
    <t>LE-5</t>
  </si>
  <si>
    <t>E-5</t>
  </si>
  <si>
    <t>Energy Efficient Appliances</t>
  </si>
  <si>
    <t>BPC</t>
  </si>
  <si>
    <t>LE-6</t>
  </si>
  <si>
    <t>E-6</t>
  </si>
  <si>
    <t>Total</t>
  </si>
  <si>
    <t>H-1</t>
  </si>
  <si>
    <t>Fresh Air Supply</t>
  </si>
  <si>
    <t>H-2</t>
  </si>
  <si>
    <t>Ventilation in wet areas</t>
  </si>
  <si>
    <t>Design Management</t>
  </si>
  <si>
    <t>W-1</t>
  </si>
  <si>
    <t>Water Efficient Fixtures</t>
  </si>
  <si>
    <t>H-3</t>
  </si>
  <si>
    <t>Hazardous Materials</t>
  </si>
  <si>
    <t>Construction Management</t>
  </si>
  <si>
    <t>W-2</t>
  </si>
  <si>
    <t>Water Efficient Landscaping</t>
  </si>
  <si>
    <t>H-4</t>
  </si>
  <si>
    <t>Operational Management</t>
  </si>
  <si>
    <t>W-3</t>
  </si>
  <si>
    <t>Daylighting</t>
  </si>
  <si>
    <t>E-6 Energy Efficient Appliances</t>
  </si>
  <si>
    <t>E-5 Domestic water heating</t>
  </si>
  <si>
    <r>
      <rPr>
        <b/>
        <sz val="11"/>
        <rFont val="Arial"/>
        <family val="2"/>
      </rPr>
      <t>Option B: Heat pump water heating</t>
    </r>
    <r>
      <rPr>
        <sz val="11"/>
        <rFont val="Arial"/>
        <family val="2"/>
      </rPr>
      <t xml:space="preserve">
Heat pump water heater produces all the domestic hot water consumption</t>
    </r>
  </si>
  <si>
    <t>E-7</t>
  </si>
  <si>
    <t>Refrigerants</t>
  </si>
  <si>
    <t>Design Stage</t>
  </si>
  <si>
    <t>Provide a Building Operation &amp; Maintenance Manual</t>
  </si>
  <si>
    <t>Inn-1</t>
  </si>
  <si>
    <t>Exceed significantly the credit requirements of LOTUS credits</t>
  </si>
  <si>
    <t>Inn-2</t>
  </si>
  <si>
    <t>Innovative Techniques / Initiatives</t>
  </si>
  <si>
    <t>Number of floors</t>
  </si>
  <si>
    <r>
      <rPr>
        <b/>
        <sz val="11"/>
        <rFont val="Arial"/>
        <family val="2"/>
      </rPr>
      <t>Strategy B: SHGC values of glazing</t>
    </r>
    <r>
      <rPr>
        <sz val="11"/>
        <rFont val="Arial"/>
        <family val="2"/>
      </rPr>
      <t xml:space="preserve">
For 1 point, SHGC values of glazing are 10% lower than VBEEC requirements. 
For 2 points, SHGC values of glazing are 20% lower than VBEEC requirements.</t>
    </r>
  </si>
  <si>
    <t>COP required by VBEEC</t>
  </si>
  <si>
    <t>Types</t>
  </si>
  <si>
    <t>Type</t>
  </si>
  <si>
    <t xml:space="preserve">Unitary air-conditioner </t>
  </si>
  <si>
    <t xml:space="preserve">Split air-conditioner </t>
  </si>
  <si>
    <t>Cooling output</t>
  </si>
  <si>
    <r>
      <rPr>
        <b/>
        <sz val="11"/>
        <rFont val="Arial"/>
        <family val="2"/>
      </rPr>
      <t>Strategy C: Solar radiation on opaque surfaces</t>
    </r>
    <r>
      <rPr>
        <sz val="11"/>
        <rFont val="Arial"/>
        <family val="2"/>
      </rPr>
      <t xml:space="preserve">
Implement strategies to reduce the solar radiation absorbed by opaque surfaces.</t>
    </r>
  </si>
  <si>
    <t>LE-7 Refrigerants</t>
  </si>
  <si>
    <t>Brand</t>
  </si>
  <si>
    <t>Air-conditioning unit model</t>
  </si>
  <si>
    <t>Rated Electric Power Input (kW)</t>
  </si>
  <si>
    <t>air-cooled air-conditioner</t>
  </si>
  <si>
    <r>
      <t>³</t>
    </r>
    <r>
      <rPr>
        <sz val="10"/>
        <color theme="1"/>
        <rFont val="Arial"/>
        <family val="2"/>
      </rPr>
      <t xml:space="preserve"> 19 kW to &lt; 40 kW</t>
    </r>
  </si>
  <si>
    <r>
      <t>³</t>
    </r>
    <r>
      <rPr>
        <sz val="10"/>
        <color theme="1"/>
        <rFont val="Arial"/>
        <family val="2"/>
      </rPr>
      <t xml:space="preserve"> 40 kW to &lt; 70 kW</t>
    </r>
  </si>
  <si>
    <t>/</t>
  </si>
  <si>
    <t>&lt; 19 kW</t>
  </si>
  <si>
    <r>
      <t>&gt;=</t>
    </r>
    <r>
      <rPr>
        <sz val="10"/>
        <color theme="1"/>
        <rFont val="Arial"/>
        <family val="2"/>
      </rPr>
      <t xml:space="preserve"> 70 kW</t>
    </r>
  </si>
  <si>
    <t>Select</t>
  </si>
  <si>
    <t xml:space="preserve">E-7 Energy Monitors </t>
  </si>
  <si>
    <t>LE-7</t>
  </si>
  <si>
    <t>Vegetation</t>
  </si>
  <si>
    <t xml:space="preserve">Minimise the use of hazardous materials for paints and coatings  </t>
  </si>
  <si>
    <t>Minimise the use of hazardous materials for adhesives and sealants</t>
  </si>
  <si>
    <t>Minimise the use of hazardous materials for flooring systems</t>
  </si>
  <si>
    <t>Minimise the use of hazardous materials for fitted furniture</t>
  </si>
  <si>
    <t>H-4 Daylighting</t>
  </si>
  <si>
    <t>Stormwater Runoff</t>
  </si>
  <si>
    <r>
      <rPr>
        <b/>
        <sz val="11"/>
        <rFont val="Arial"/>
        <family val="2"/>
      </rPr>
      <t>Strategy B: Building footprint</t>
    </r>
    <r>
      <rPr>
        <sz val="11"/>
        <rFont val="Arial"/>
        <family val="2"/>
      </rPr>
      <t xml:space="preserve">
Reduce the building footprint to provide 20% of the site area as undeveloped area.</t>
    </r>
  </si>
  <si>
    <t>CM-3 Operational Management</t>
  </si>
  <si>
    <t>CM-2 Construction Management</t>
  </si>
  <si>
    <t>CM-1 Design Stage</t>
  </si>
  <si>
    <t>Community &amp; Management</t>
  </si>
  <si>
    <t>CM-1</t>
  </si>
  <si>
    <t>CM-2</t>
  </si>
  <si>
    <t>CM-3</t>
  </si>
  <si>
    <t>U-value reduction compared to VBEEC (%)</t>
  </si>
  <si>
    <r>
      <rPr>
        <b/>
        <sz val="11"/>
        <rFont val="Arial"/>
        <family val="2"/>
      </rPr>
      <t>Strategy B: Demolition and construction waste</t>
    </r>
    <r>
      <rPr>
        <sz val="11"/>
        <rFont val="Arial"/>
        <family val="2"/>
      </rPr>
      <t xml:space="preserve">
Implement strategies to minimise demolition and construction waste </t>
    </r>
  </si>
  <si>
    <r>
      <rPr>
        <b/>
        <sz val="11"/>
        <rFont val="Arial"/>
        <family val="2"/>
      </rPr>
      <t>Strategy C: Construction noise</t>
    </r>
    <r>
      <rPr>
        <sz val="11"/>
        <rFont val="Arial"/>
        <family val="2"/>
      </rPr>
      <t xml:space="preserve">
Implement adequate mitigation measures to limit construction noise</t>
    </r>
  </si>
  <si>
    <r>
      <rPr>
        <b/>
        <sz val="11"/>
        <rFont val="Arial"/>
        <family val="2"/>
      </rPr>
      <t>Strategy E: Construction Worker Management</t>
    </r>
    <r>
      <rPr>
        <sz val="11"/>
        <rFont val="Arial"/>
        <family val="2"/>
      </rPr>
      <t xml:space="preserve">
Implement a Construction Worker Management Plan </t>
    </r>
  </si>
  <si>
    <t>% of vegetated site</t>
  </si>
  <si>
    <t>Type of vegetation</t>
  </si>
  <si>
    <r>
      <t>Total site area (m</t>
    </r>
    <r>
      <rPr>
        <vertAlign val="superscript"/>
        <sz val="10"/>
        <color theme="0"/>
        <rFont val="Arial"/>
        <family val="2"/>
      </rPr>
      <t>2</t>
    </r>
    <r>
      <rPr>
        <sz val="10"/>
        <color theme="0"/>
        <rFont val="Arial"/>
        <family val="2"/>
      </rPr>
      <t>)</t>
    </r>
  </si>
  <si>
    <t>Site area</t>
  </si>
  <si>
    <t>Innovation</t>
  </si>
  <si>
    <t>Available</t>
  </si>
  <si>
    <t>Points available</t>
  </si>
  <si>
    <t>For 1 point, reduce the amount of domestic water used for landscaping by 50% compared to benchmark consumption
For 2 points, reduce the amount of domestic water used for landscaping by 80% compared to benchmark consumption</t>
  </si>
  <si>
    <t>Drinking Water</t>
  </si>
  <si>
    <t>LE-8</t>
  </si>
  <si>
    <t xml:space="preserve">Waste Management </t>
  </si>
  <si>
    <t>LE-8 Waste Management</t>
  </si>
  <si>
    <t>Provide a storage place with different bins for recyclables, organic wastes and garbage</t>
  </si>
  <si>
    <r>
      <rPr>
        <b/>
        <sz val="11"/>
        <rFont val="Arial"/>
        <family val="2"/>
      </rPr>
      <t>Strategy D: Neighbourhood Impact Plan</t>
    </r>
    <r>
      <rPr>
        <sz val="11"/>
        <rFont val="Arial"/>
        <family val="2"/>
      </rPr>
      <t xml:space="preserve">
Implement adequate measures to reduce construction impacts on neighbouring properties</t>
    </r>
  </si>
  <si>
    <t>Appliance type</t>
  </si>
  <si>
    <t>Rated Power (W)</t>
  </si>
  <si>
    <t>Energy efficiency label?</t>
  </si>
  <si>
    <r>
      <t>P</t>
    </r>
    <r>
      <rPr>
        <vertAlign val="subscript"/>
        <sz val="10"/>
        <color indexed="9"/>
        <rFont val="Arial"/>
        <family val="2"/>
      </rPr>
      <t>T</t>
    </r>
    <r>
      <rPr>
        <sz val="10"/>
        <color indexed="9"/>
        <rFont val="Arial"/>
        <family val="2"/>
      </rPr>
      <t xml:space="preserve"> (W)</t>
    </r>
  </si>
  <si>
    <r>
      <t>P</t>
    </r>
    <r>
      <rPr>
        <vertAlign val="subscript"/>
        <sz val="10"/>
        <color indexed="9"/>
        <rFont val="Arial"/>
        <family val="2"/>
      </rPr>
      <t>EE</t>
    </r>
    <r>
      <rPr>
        <sz val="10"/>
        <color indexed="9"/>
        <rFont val="Arial"/>
        <family val="2"/>
      </rPr>
      <t xml:space="preserve"> (W)</t>
    </r>
  </si>
  <si>
    <t>Install low flow shower heads</t>
  </si>
  <si>
    <t>Install low flow kitchen and bathroom taps</t>
  </si>
  <si>
    <t>Install low-water clothes washers and/or do not install any dishwasher</t>
  </si>
  <si>
    <t>Design Water Use per person per day (L)</t>
  </si>
  <si>
    <t>Baseline water use per person per day (L)</t>
  </si>
  <si>
    <t>Flush Type</t>
  </si>
  <si>
    <t>Low Flush</t>
  </si>
  <si>
    <t>Full Flush</t>
  </si>
  <si>
    <r>
      <rPr>
        <sz val="12"/>
        <color indexed="9"/>
        <rFont val="Arial"/>
        <family val="2"/>
      </rPr>
      <t>Water Closet</t>
    </r>
    <r>
      <rPr>
        <sz val="11"/>
        <color indexed="9"/>
        <rFont val="Arial"/>
        <family val="2"/>
      </rPr>
      <t xml:space="preserve">                    </t>
    </r>
  </si>
  <si>
    <t>Flowrate
[L/s]</t>
  </si>
  <si>
    <t>Maximum flushrate [Lpf]</t>
  </si>
  <si>
    <t>Maximum flowrate [Lps]</t>
  </si>
  <si>
    <t>Compliant?</t>
  </si>
  <si>
    <t>Fixture Name</t>
  </si>
  <si>
    <r>
      <rPr>
        <sz val="12"/>
        <color indexed="9"/>
        <rFont val="Arial"/>
        <family val="2"/>
      </rPr>
      <t xml:space="preserve">Bathroom Taps
</t>
    </r>
    <r>
      <rPr>
        <sz val="10"/>
        <color indexed="9"/>
        <rFont val="Arial"/>
        <family val="2"/>
      </rPr>
      <t>Fixture Name</t>
    </r>
  </si>
  <si>
    <t>Max water use
 [Liters per load]</t>
  </si>
  <si>
    <t>Load size 
[kg]</t>
  </si>
  <si>
    <t>Water use per load</t>
  </si>
  <si>
    <t>Number of stars under VNEEP labelling</t>
  </si>
  <si>
    <t>Equipped with inverter?</t>
  </si>
  <si>
    <t>COP of the unit</t>
  </si>
  <si>
    <t>Credit Requirements</t>
  </si>
  <si>
    <t>Criteria</t>
  </si>
  <si>
    <t>SRI higher than 29</t>
  </si>
  <si>
    <t>Shading devices with SRI higher than 29</t>
  </si>
  <si>
    <t>Open grid pavement</t>
  </si>
  <si>
    <t xml:space="preserve">Shading from trees </t>
  </si>
  <si>
    <t>Shading devices with SRI higher than 30</t>
  </si>
  <si>
    <t>Shading devices with SRI higher than 31</t>
  </si>
  <si>
    <t>Shading devices with SRI higher than 33</t>
  </si>
  <si>
    <t>Submissions</t>
  </si>
  <si>
    <r>
      <rPr>
        <b/>
        <sz val="10"/>
        <rFont val="Arial"/>
        <family val="2"/>
      </rPr>
      <t xml:space="preserve">Strategy B: Infill or redevelopment site </t>
    </r>
    <r>
      <rPr>
        <sz val="10"/>
        <rFont val="Arial"/>
        <family val="2"/>
      </rPr>
      <t xml:space="preserve">
Locate building on an infill or a redevelopment site</t>
    </r>
  </si>
  <si>
    <t>Strategy B: Infill or redevelopment site</t>
  </si>
  <si>
    <t>If YES is answered for at least one of the 2 questions below, the site can be considered as an infill or a redevelopment site</t>
  </si>
  <si>
    <t>Submit all the documentation listed below:</t>
  </si>
  <si>
    <t>Location</t>
  </si>
  <si>
    <t>Performance Path Criteria</t>
  </si>
  <si>
    <t>Prescriptive Path Criteria</t>
  </si>
  <si>
    <t>Prescriptive Path Results</t>
  </si>
  <si>
    <t>Introduction</t>
  </si>
  <si>
    <t>Materials</t>
  </si>
  <si>
    <t>H-2 Ventilation in wet areas</t>
  </si>
  <si>
    <t>This credit applies to all the following rooms in the building:</t>
  </si>
  <si>
    <r>
      <rPr>
        <sz val="10"/>
        <rFont val="Calibri"/>
        <family val="2"/>
      </rPr>
      <t>•</t>
    </r>
    <r>
      <rPr>
        <sz val="10"/>
        <rFont val="Arial"/>
        <family val="2"/>
      </rPr>
      <t xml:space="preserve"> bathrooms (any room containing a bathtub, shower, spa, or similar source of moisture); and</t>
    </r>
  </si>
  <si>
    <r>
      <rPr>
        <sz val="10"/>
        <rFont val="Calibri"/>
        <family val="2"/>
      </rPr>
      <t>•</t>
    </r>
    <r>
      <rPr>
        <sz val="10"/>
        <rFont val="Arial"/>
        <family val="2"/>
      </rPr>
      <t xml:space="preserve"> toilets (a space containing one or more water closets or urinals).</t>
    </r>
  </si>
  <si>
    <t>Kitchen rooms</t>
  </si>
  <si>
    <t>Minimum capacity of exhaust fans (L/s)</t>
  </si>
  <si>
    <t>Other Wet rooms</t>
  </si>
  <si>
    <t>Room type</t>
  </si>
  <si>
    <t>Capacity of exhaust fan installed (L/s)</t>
  </si>
  <si>
    <t>Extra requirement met?</t>
  </si>
  <si>
    <t>Extra requirement</t>
  </si>
  <si>
    <t>All wet areas compliant?</t>
  </si>
  <si>
    <t>Possible points</t>
  </si>
  <si>
    <t>Total Points</t>
  </si>
  <si>
    <t>LE-2 Site design</t>
  </si>
  <si>
    <t>Type of paint / coating</t>
  </si>
  <si>
    <t>Product Name</t>
  </si>
  <si>
    <t>VOC content limit
[g/L]</t>
  </si>
  <si>
    <t>All paints and coatings compliant?</t>
  </si>
  <si>
    <r>
      <rPr>
        <b/>
        <sz val="10"/>
        <rFont val="Arial"/>
        <family val="2"/>
      </rPr>
      <t>Strategy B: Building Orientation</t>
    </r>
    <r>
      <rPr>
        <sz val="10"/>
        <rFont val="Arial"/>
        <family val="2"/>
      </rPr>
      <t xml:space="preserve">
For 1 point, east façade area + west façade area / total façade area ≤ 40 %
For 2 points, east façade area + west façade area / total façade area ≤ 20 %</t>
    </r>
  </si>
  <si>
    <r>
      <rPr>
        <b/>
        <sz val="10"/>
        <rFont val="Arial"/>
        <family val="2"/>
      </rPr>
      <t>Strategy C: Window-to-wall ratio</t>
    </r>
    <r>
      <rPr>
        <sz val="10"/>
        <rFont val="Arial"/>
        <family val="2"/>
      </rPr>
      <t xml:space="preserve">
For 1 point, Window to Wall Ratio of the West and East facing facades lower than 30%
For 2 points, Window to Wall Ratio of the West and East facing facades lower than 15%</t>
    </r>
  </si>
  <si>
    <r>
      <rPr>
        <b/>
        <sz val="10"/>
        <rFont val="Arial"/>
        <family val="2"/>
      </rPr>
      <t>Strategy D: Shading devices</t>
    </r>
    <r>
      <rPr>
        <sz val="10"/>
        <rFont val="Arial"/>
        <family val="2"/>
      </rPr>
      <t xml:space="preserve">
1 point for meeting each of the following requirements: 
- For north and south orientations, install horizontal overhangs that achieves a value of A coefficient higher than 1.3 (according to Table 2.4 of VBEEC)
- For east and west orientations, install full-height louvered screen (with horizontal or vertical fins) on all windows.</t>
    </r>
  </si>
  <si>
    <t>East and west facades area [%]</t>
  </si>
  <si>
    <t>Strategy A: Building Orientation</t>
  </si>
  <si>
    <t>Strategy B: Window-to-wall ratio</t>
  </si>
  <si>
    <t>Strategy C: Shading devices</t>
  </si>
  <si>
    <t>Provide sufficient fresh air supply to a minimum of 90% of the total net habitable area of the building</t>
  </si>
  <si>
    <t>Type of adhesive / sealant</t>
  </si>
  <si>
    <t>All adhesives and sealants compliant?</t>
  </si>
  <si>
    <t>Performance and prescriptive paths</t>
  </si>
  <si>
    <t>Options and strategies</t>
  </si>
  <si>
    <t>Best practice credits</t>
  </si>
  <si>
    <r>
      <rPr>
        <b/>
        <sz val="11"/>
        <rFont val="Arial"/>
        <family val="2"/>
      </rPr>
      <t>Strategy C: Solar radiation through windows</t>
    </r>
    <r>
      <rPr>
        <sz val="11"/>
        <rFont val="Arial"/>
        <family val="2"/>
      </rPr>
      <t xml:space="preserve">
All the glazing systems installed are any or any combination of the following: 
solar control glasses or low solar heat gain low-E double glazing windows</t>
    </r>
  </si>
  <si>
    <r>
      <rPr>
        <b/>
        <sz val="11"/>
        <rFont val="Arial"/>
        <family val="2"/>
      </rPr>
      <t>Strategy D: Solar radiation on opaque surfaces</t>
    </r>
    <r>
      <rPr>
        <sz val="11"/>
        <rFont val="Arial"/>
        <family val="2"/>
      </rPr>
      <t xml:space="preserve">
Implement strategies to reduce the solar radiation absorbed by opaque surfaces.</t>
    </r>
  </si>
  <si>
    <r>
      <rPr>
        <b/>
        <sz val="11"/>
        <rFont val="Arial"/>
        <family val="2"/>
      </rPr>
      <t>Strategy B: U-values of roofs</t>
    </r>
    <r>
      <rPr>
        <sz val="11"/>
        <rFont val="Arial"/>
        <family val="2"/>
      </rPr>
      <t xml:space="preserve">
All the roofs are made with any or any combination of the following: 
An air layer of at least 40mm, a layer of insulation material with a thickness of at least 40mm, a fixed sunshade, a green roof or equivalent.</t>
    </r>
  </si>
  <si>
    <r>
      <rPr>
        <b/>
        <sz val="11"/>
        <rFont val="Arial"/>
        <family val="2"/>
      </rPr>
      <t>Strategy A: U-values of walls</t>
    </r>
    <r>
      <rPr>
        <sz val="11"/>
        <rFont val="Arial"/>
        <family val="2"/>
      </rPr>
      <t xml:space="preserve">
All the external walls are made with any or any combination of the following: 
AAC blocks, a layer of insulation material with a thickness of at least 40mm, lightweight hollow blocks or equivalent.</t>
    </r>
  </si>
  <si>
    <t>Select the compliance path pursued:</t>
  </si>
  <si>
    <t xml:space="preserve">LE-5 Storm Water Runoff </t>
  </si>
  <si>
    <t xml:space="preserve">Flood Risk Mitigation  </t>
  </si>
  <si>
    <t>LE-6 Flood Risk Mitigation</t>
  </si>
  <si>
    <t>LE-5 Storm Water Runoff</t>
  </si>
  <si>
    <r>
      <t>Roof area (m</t>
    </r>
    <r>
      <rPr>
        <vertAlign val="superscript"/>
        <sz val="10"/>
        <color theme="0"/>
        <rFont val="Arial"/>
        <family val="2"/>
      </rPr>
      <t>2</t>
    </r>
    <r>
      <rPr>
        <sz val="10"/>
        <color theme="0"/>
        <rFont val="Arial"/>
        <family val="2"/>
      </rPr>
      <t>)</t>
    </r>
  </si>
  <si>
    <r>
      <t>Paved area (m</t>
    </r>
    <r>
      <rPr>
        <vertAlign val="superscript"/>
        <sz val="10"/>
        <color theme="0"/>
        <rFont val="Arial"/>
        <family val="2"/>
      </rPr>
      <t>2</t>
    </r>
    <r>
      <rPr>
        <sz val="10"/>
        <color theme="0"/>
        <rFont val="Arial"/>
        <family val="2"/>
      </rPr>
      <t>)</t>
    </r>
  </si>
  <si>
    <r>
      <rPr>
        <b/>
        <sz val="10"/>
        <rFont val="Arial"/>
        <family val="2"/>
      </rPr>
      <t>Strategy A: U-values of walls and roof</t>
    </r>
    <r>
      <rPr>
        <sz val="10"/>
        <rFont val="Arial"/>
        <family val="2"/>
      </rPr>
      <t xml:space="preserve">
For 1 point, Average U-value of the walls and roof are 20% lower than VBEEC requirements. 
For 2 points, Average U-value of the walls and roof are 40% lower than VBEEC requirements.</t>
    </r>
  </si>
  <si>
    <r>
      <rPr>
        <b/>
        <sz val="10"/>
        <rFont val="Arial"/>
        <family val="2"/>
      </rPr>
      <t>Strategy B: SHGC values of glazing</t>
    </r>
    <r>
      <rPr>
        <sz val="10"/>
        <rFont val="Arial"/>
        <family val="2"/>
      </rPr>
      <t xml:space="preserve">
For 1 point, SHGC values of glazing are 10% lower than VBEEC requirements. 
For 2 points, SHGC values of glazing are 20% lower than VBEEC requirements.</t>
    </r>
  </si>
  <si>
    <t>Light fixture model</t>
  </si>
  <si>
    <t>luminous efficacy (lm/W)</t>
  </si>
  <si>
    <t>Select the option pursued:</t>
  </si>
  <si>
    <t>Number of occupants</t>
  </si>
  <si>
    <t>Number of bedrooms</t>
  </si>
  <si>
    <t>Number of bathrooms</t>
  </si>
  <si>
    <t>Number of kitchens</t>
  </si>
  <si>
    <t>Number of living/dining rooms</t>
  </si>
  <si>
    <t xml:space="preserve">W-3 Drinking Water </t>
  </si>
  <si>
    <t>Approach &amp; Implementation</t>
  </si>
  <si>
    <t>The Eco-Charrette took place:</t>
  </si>
  <si>
    <t>Date</t>
  </si>
  <si>
    <t>With the following participants:</t>
  </si>
  <si>
    <t>Name</t>
  </si>
  <si>
    <t>Position</t>
  </si>
  <si>
    <t>Eco-Charrette compliant?</t>
  </si>
  <si>
    <r>
      <rPr>
        <b/>
        <sz val="10"/>
        <rFont val="Arial"/>
        <family val="2"/>
      </rPr>
      <t>Strategy A: Stormwater pollution prevention, erosion and sediment control</t>
    </r>
    <r>
      <rPr>
        <sz val="10"/>
        <rFont val="Arial"/>
        <family val="2"/>
      </rPr>
      <t xml:space="preserve">
Implement best practices for stormwater pollution, erosion and sediment control.</t>
    </r>
  </si>
  <si>
    <r>
      <rPr>
        <b/>
        <sz val="10"/>
        <rFont val="Arial"/>
        <family val="2"/>
      </rPr>
      <t>Strategy B: Demolition and construction waste</t>
    </r>
    <r>
      <rPr>
        <sz val="10"/>
        <rFont val="Arial"/>
        <family val="2"/>
      </rPr>
      <t xml:space="preserve">
Implement strategies to minimise demolition and construction waste </t>
    </r>
  </si>
  <si>
    <r>
      <rPr>
        <b/>
        <sz val="10"/>
        <rFont val="Arial"/>
        <family val="2"/>
      </rPr>
      <t>Strategy D: Neighbourhood Impact Plan</t>
    </r>
    <r>
      <rPr>
        <sz val="10"/>
        <rFont val="Arial"/>
        <family val="2"/>
      </rPr>
      <t xml:space="preserve">
Implement adequate measures to reduce construction impacts on neighbouring properties</t>
    </r>
  </si>
  <si>
    <r>
      <rPr>
        <b/>
        <sz val="10"/>
        <rFont val="Arial"/>
        <family val="2"/>
      </rPr>
      <t>Strategy E: Construction Worker Management</t>
    </r>
    <r>
      <rPr>
        <sz val="10"/>
        <rFont val="Arial"/>
        <family val="2"/>
      </rPr>
      <t xml:space="preserve">
Implement a Construction Worker Management Plan </t>
    </r>
  </si>
  <si>
    <r>
      <rPr>
        <b/>
        <sz val="10"/>
        <rFont val="Arial"/>
        <family val="2"/>
      </rPr>
      <t>Strategy C: Construction noise</t>
    </r>
    <r>
      <rPr>
        <sz val="10"/>
        <rFont val="Arial"/>
        <family val="2"/>
      </rPr>
      <t xml:space="preserve">
Implement adequate mitigation measures to limit construction noise</t>
    </r>
  </si>
  <si>
    <t>Strategy A: Stormwater pollution prevention, erosion and sediment control</t>
  </si>
  <si>
    <t>Analyse potential disturbances during construction and implement appropriate best management practices to control stormwater pollution, erosion and sedimentation</t>
  </si>
  <si>
    <t>Measures implemented</t>
  </si>
  <si>
    <t>Strategy B: Demolition and construction waste</t>
  </si>
  <si>
    <t>A home energy monitor is an electronic device that provides feedback on electricity consumption.</t>
  </si>
  <si>
    <t>Compliant energy monitor?</t>
  </si>
  <si>
    <t>Project owner name</t>
  </si>
  <si>
    <t>Project Name</t>
  </si>
  <si>
    <t xml:space="preserve">Project Address </t>
  </si>
  <si>
    <t xml:space="preserve">Project City </t>
  </si>
  <si>
    <t>Project type</t>
  </si>
  <si>
    <t>E-6 Energy Efficiency Appliances</t>
  </si>
  <si>
    <t>TOTAL</t>
  </si>
  <si>
    <t>Inn-1 Exceptional Performance Enhancement</t>
  </si>
  <si>
    <t>Inn-2 Innovative Techniques/Initiatives</t>
  </si>
  <si>
    <t>All the following types of appliances and equipment should be considered in the credit:
Washing machines, Refrigerators and freezers, Dishwashers, Fans, Televisions, Computers (desktops and laptops), Displays (computer monitors), and Rice cookers</t>
  </si>
  <si>
    <t>• Energy Star</t>
  </si>
  <si>
    <t>• VNEEP energy label with 4 or 5 stars</t>
  </si>
  <si>
    <t>• European Union Energy Label with class A label or better</t>
  </si>
  <si>
    <t>• EMSD (Hong Kong) Energy Efficiency Labelling Scheme with Grade 1 or Grade 2 labels</t>
  </si>
  <si>
    <t>• EMSD’s Voluntary Energy Efficiency Labelling Scheme with Recognition type label</t>
  </si>
  <si>
    <t>• Australian Energy Rating Label Program with 3 stars or higher for Appliances that carry an energy label</t>
  </si>
  <si>
    <t>• Australian Energy Rating Label Program MEPS for Products registered for MEPS.</t>
  </si>
  <si>
    <t>For 1 point, reduce domestic water consumption through fixtures by 20% in comparison to a baseline model 
1 point for every additional 5% reduction of the domestic water consumption through fixtures</t>
  </si>
  <si>
    <t>Type of product</t>
  </si>
  <si>
    <t>Strategy C: Mass transit Transport</t>
  </si>
  <si>
    <t>Mass transit service</t>
  </si>
  <si>
    <t>Mass transit services include: (proposed) metro stations and existing bus stops</t>
  </si>
  <si>
    <t xml:space="preserve">Strategy D: Community Connectivity </t>
  </si>
  <si>
    <t>Distance from site
[meters]</t>
  </si>
  <si>
    <t xml:space="preserve">Bank </t>
  </si>
  <si>
    <t xml:space="preserve">Name of the service </t>
  </si>
  <si>
    <t>Strategies to increase the site perviousness include:</t>
  </si>
  <si>
    <t>• Minimise hardscape areas</t>
  </si>
  <si>
    <t>• Landscaping that diverts water from impervious areas to pervious areas, such as gardens and lawns</t>
  </si>
  <si>
    <t>• Use of vegetated swales, biofiltration swales, wetlands, dry wells and rain gardens</t>
  </si>
  <si>
    <t>• Retention and detention ponds</t>
  </si>
  <si>
    <t>• Green roof</t>
  </si>
  <si>
    <r>
      <t>Building footprint (m</t>
    </r>
    <r>
      <rPr>
        <vertAlign val="superscript"/>
        <sz val="10"/>
        <color theme="0"/>
        <rFont val="Arial"/>
        <family val="2"/>
      </rPr>
      <t>2</t>
    </r>
    <r>
      <rPr>
        <sz val="10"/>
        <color theme="0"/>
        <rFont val="Arial"/>
        <family val="2"/>
      </rPr>
      <t>)</t>
    </r>
  </si>
  <si>
    <r>
      <t>Green roof (m</t>
    </r>
    <r>
      <rPr>
        <vertAlign val="superscript"/>
        <sz val="10"/>
        <color theme="0"/>
        <rFont val="Arial"/>
        <family val="2"/>
      </rPr>
      <t>2</t>
    </r>
    <r>
      <rPr>
        <sz val="10"/>
        <color theme="0"/>
        <rFont val="Arial"/>
        <family val="2"/>
      </rPr>
      <t>)</t>
    </r>
  </si>
  <si>
    <t>Run-off coefficient of covering material</t>
  </si>
  <si>
    <r>
      <t>Pervious area (m</t>
    </r>
    <r>
      <rPr>
        <vertAlign val="superscript"/>
        <sz val="10"/>
        <color indexed="9"/>
        <rFont val="Arial"/>
        <family val="2"/>
      </rPr>
      <t>2</t>
    </r>
    <r>
      <rPr>
        <sz val="10"/>
        <color indexed="9"/>
        <rFont val="Arial"/>
        <family val="2"/>
      </rPr>
      <t>)</t>
    </r>
  </si>
  <si>
    <t>Site Perviousness [%]</t>
  </si>
  <si>
    <t>Resources</t>
  </si>
  <si>
    <t>A ‘local flood risk identification statement’ can be a simple one page document added to the architectural plan set.</t>
  </si>
  <si>
    <t>If a flood map is not available, a location plan identifying possible sources of water inundation must be provided.</t>
  </si>
  <si>
    <t>• Elevate buildings above the predicted flood level by piers, piles, columns or bearing walls</t>
  </si>
  <si>
    <t>• Flood-proof the lower levels of buildings by sealing them against water penetration</t>
  </si>
  <si>
    <t>• Employ wet flood-proofing methods</t>
  </si>
  <si>
    <t>• Arrange all mechanical and electrical equipment in water-tight units or higher than the highest predicted flood level in the building</t>
  </si>
  <si>
    <t>• Install water resistant and easy-to-clean materials for lower floors</t>
  </si>
  <si>
    <t>Strategy B: Building footprint</t>
  </si>
  <si>
    <t>LE-2 Site Design</t>
  </si>
  <si>
    <t>•  Site area</t>
  </si>
  <si>
    <t>•  Adjoining development</t>
  </si>
  <si>
    <t>•  Existing structures on the site</t>
  </si>
  <si>
    <t>•  Existing site entry and exit points</t>
  </si>
  <si>
    <t>•  Existing vegetation to be retained</t>
  </si>
  <si>
    <t>•  Existing vegetation to be removed</t>
  </si>
  <si>
    <t>•  Topography</t>
  </si>
  <si>
    <t>•  North Point</t>
  </si>
  <si>
    <t>•  Significant view corridors</t>
  </si>
  <si>
    <t>•  Any prevailing winds</t>
  </si>
  <si>
    <r>
      <rPr>
        <b/>
        <sz val="10"/>
        <rFont val="Arial"/>
        <family val="2"/>
      </rPr>
      <t>Strategy A: Site Analysis</t>
    </r>
    <r>
      <rPr>
        <sz val="10"/>
        <rFont val="Arial"/>
        <family val="2"/>
      </rPr>
      <t xml:space="preserve">
Provide a Site Analysis considering local environmental conditions such as sunlight, prevailing winds, topography and existing vegetation.</t>
    </r>
  </si>
  <si>
    <t xml:space="preserve">Strategy A: Site Analysis </t>
  </si>
  <si>
    <t>Site orientation</t>
  </si>
  <si>
    <t>Existing development to the east</t>
  </si>
  <si>
    <t>Existing development to the north</t>
  </si>
  <si>
    <t>Existing development to the west</t>
  </si>
  <si>
    <t>Existing development to the south</t>
  </si>
  <si>
    <t>Describe existing structures on site</t>
  </si>
  <si>
    <t>Topography</t>
  </si>
  <si>
    <t>Describe existing views</t>
  </si>
  <si>
    <t xml:space="preserve">North </t>
  </si>
  <si>
    <t xml:space="preserve">Major road </t>
  </si>
  <si>
    <t>Existing development</t>
  </si>
  <si>
    <t xml:space="preserve">Minor road </t>
  </si>
  <si>
    <t xml:space="preserve">House up to 3 storeys </t>
  </si>
  <si>
    <t xml:space="preserve">Terrace house greater than 3 storeys </t>
  </si>
  <si>
    <t xml:space="preserve">Shop </t>
  </si>
  <si>
    <t>Office building</t>
  </si>
  <si>
    <t xml:space="preserve">Block of flats </t>
  </si>
  <si>
    <t xml:space="preserve">River </t>
  </si>
  <si>
    <t xml:space="preserve">Park </t>
  </si>
  <si>
    <t>Empty lot</t>
  </si>
  <si>
    <t xml:space="preserve">Land is flat </t>
  </si>
  <si>
    <t xml:space="preserve">Slope front to rear </t>
  </si>
  <si>
    <t xml:space="preserve">Slope rear to front </t>
  </si>
  <si>
    <t>Centre highest point</t>
  </si>
  <si>
    <t xml:space="preserve">Slope across site </t>
  </si>
  <si>
    <t xml:space="preserve">North east </t>
  </si>
  <si>
    <t>East</t>
  </si>
  <si>
    <t xml:space="preserve">South east  </t>
  </si>
  <si>
    <t xml:space="preserve">South </t>
  </si>
  <si>
    <t>South west</t>
  </si>
  <si>
    <t xml:space="preserve">West </t>
  </si>
  <si>
    <t>North west</t>
  </si>
  <si>
    <t>Design Water Use of the whole house per day (L)</t>
  </si>
  <si>
    <t>Baseline Water Use of the whole house per per day (L)</t>
  </si>
  <si>
    <t>Number of fixtures</t>
  </si>
  <si>
    <t>Number of equipment</t>
  </si>
  <si>
    <t>Daily Design Water Use (L)</t>
  </si>
  <si>
    <t>Daily Baseline Water Use (L)</t>
  </si>
  <si>
    <t>Credit requirements</t>
  </si>
  <si>
    <t>Heat pump water heating system</t>
  </si>
  <si>
    <t>Equipment Type</t>
  </si>
  <si>
    <t>VBEEC requirement on
COP</t>
  </si>
  <si>
    <t>COP value of the system</t>
  </si>
  <si>
    <t>Air-heated heat pumps</t>
  </si>
  <si>
    <t>Water-heated heat pumps</t>
  </si>
  <si>
    <t>Heat recovery air conditioners</t>
  </si>
  <si>
    <t>Minimum COP</t>
  </si>
  <si>
    <t>Heat recovery AC - Hot water supply only</t>
  </si>
  <si>
    <t>Heat recovery AC - AC and hot water supply</t>
  </si>
  <si>
    <t>Credit</t>
  </si>
  <si>
    <t>Available points</t>
  </si>
  <si>
    <t>Best Practice Credits</t>
  </si>
  <si>
    <t>E-3 Home Cooling</t>
  </si>
  <si>
    <t>Option A: Solar water heating</t>
  </si>
  <si>
    <t xml:space="preserve">Install a drinking water filtration system supplying at least one faucet in the house </t>
  </si>
  <si>
    <t>Does the filtration system contain filters that can remove the following ?</t>
  </si>
  <si>
    <t xml:space="preserve">• heavy metals  </t>
  </si>
  <si>
    <t xml:space="preserve">• chlorine </t>
  </si>
  <si>
    <t>Filter type</t>
  </si>
  <si>
    <t>• bacteria</t>
  </si>
  <si>
    <t xml:space="preserve">• dust, particles, and rust  </t>
  </si>
  <si>
    <t>Tân Sơn Nhất</t>
  </si>
  <si>
    <t>AVERAGE MONTHLY RAINFALL</t>
  </si>
  <si>
    <t>Source: Vietnam Building Code - Natural Physical &amp; Climatic Data for Construction (QCVN 02:2009/BXD)</t>
  </si>
  <si>
    <t>January</t>
  </si>
  <si>
    <t>February</t>
  </si>
  <si>
    <t>March</t>
  </si>
  <si>
    <t>April</t>
  </si>
  <si>
    <t>May</t>
  </si>
  <si>
    <t>June</t>
  </si>
  <si>
    <t>July</t>
  </si>
  <si>
    <t>August</t>
  </si>
  <si>
    <t>September</t>
  </si>
  <si>
    <t>October</t>
  </si>
  <si>
    <t>November</t>
  </si>
  <si>
    <t>December</t>
  </si>
  <si>
    <t>Total Year</t>
  </si>
  <si>
    <t>Ba Vì</t>
  </si>
  <si>
    <t>Bắc Giang</t>
  </si>
  <si>
    <t>Bắc Kạn</t>
  </si>
  <si>
    <t>BuônMaThuật</t>
  </si>
  <si>
    <t>Cà Mau</t>
  </si>
  <si>
    <t>Cam Ranh</t>
  </si>
  <si>
    <t>Cần Thơ</t>
  </si>
  <si>
    <t xml:space="preserve">Càng Long </t>
  </si>
  <si>
    <t>Cao Bằng</t>
  </si>
  <si>
    <t>Cao Lãnh</t>
  </si>
  <si>
    <t>Chấu Đốc</t>
  </si>
  <si>
    <t>Côn Sơn</t>
  </si>
  <si>
    <t>Cửa Ông</t>
  </si>
  <si>
    <t>Đà Lạt</t>
  </si>
  <si>
    <t>Đà Nẵng</t>
  </si>
  <si>
    <t>Điện Biên</t>
  </si>
  <si>
    <t xml:space="preserve">Đông Hà </t>
  </si>
  <si>
    <t>Đồng Hới</t>
  </si>
  <si>
    <t>Hà Đông</t>
  </si>
  <si>
    <t>Hà Giang</t>
  </si>
  <si>
    <t>Hà Nội</t>
  </si>
  <si>
    <t>Hà Tĩnh</t>
  </si>
  <si>
    <t>Hải Dương</t>
  </si>
  <si>
    <t>Hoà Bình</t>
  </si>
  <si>
    <t>Hoàng Sa</t>
  </si>
  <si>
    <t>Hòn Gai</t>
  </si>
  <si>
    <t>Huế</t>
  </si>
  <si>
    <t>Hưng Yên</t>
  </si>
  <si>
    <t>Kon Tum</t>
  </si>
  <si>
    <t>Lai Châu</t>
  </si>
  <si>
    <t>Lạng Sơn</t>
  </si>
  <si>
    <t>Lào Cai</t>
  </si>
  <si>
    <t>Mộc Hoá</t>
  </si>
  <si>
    <t>Mỹ Tho</t>
  </si>
  <si>
    <t>Nam Định</t>
  </si>
  <si>
    <t>Nha Trang</t>
  </si>
  <si>
    <t>Ninh Bình</t>
  </si>
  <si>
    <t>Phan Thiết</t>
  </si>
  <si>
    <t>Phủ Liễn</t>
  </si>
  <si>
    <t>Phú Quốc</t>
  </si>
  <si>
    <t>Phước Long</t>
  </si>
  <si>
    <t>Plâycu</t>
  </si>
  <si>
    <t>Quảng Ngãi</t>
  </si>
  <si>
    <t>Quy Nhơn</t>
  </si>
  <si>
    <t>Rạch Giá</t>
  </si>
  <si>
    <t>Sa Pa</t>
  </si>
  <si>
    <t>Sóc Trăng</t>
  </si>
  <si>
    <t>Sơn La</t>
  </si>
  <si>
    <t>Sơn Tây</t>
  </si>
  <si>
    <t>Tam Đảo</t>
  </si>
  <si>
    <t>Tây Ninh</t>
  </si>
  <si>
    <t>Thái Bình</t>
  </si>
  <si>
    <t>Thái Nguyên</t>
  </si>
  <si>
    <t>Thanh Hóa</t>
  </si>
  <si>
    <t>Trường Sa</t>
  </si>
  <si>
    <t>Tuy Hòa</t>
  </si>
  <si>
    <t>Tuyên Quang</t>
  </si>
  <si>
    <t>Uông Bí</t>
  </si>
  <si>
    <t>Việt Trì</t>
  </si>
  <si>
    <t>Vinh</t>
  </si>
  <si>
    <t>Vĩnh Yên</t>
  </si>
  <si>
    <t>Vũng Tàu</t>
  </si>
  <si>
    <t>Yên Bái</t>
  </si>
  <si>
    <t>AVERAGE MONTHLY NUMBER OF RAINY DAYS</t>
  </si>
  <si>
    <r>
      <t>Annual Effective Rainfall E</t>
    </r>
    <r>
      <rPr>
        <vertAlign val="subscript"/>
        <sz val="14"/>
        <color indexed="9"/>
        <rFont val="Arial"/>
        <family val="2"/>
      </rPr>
      <t>rain</t>
    </r>
  </si>
  <si>
    <t>Calculated with above values and using the following formula:</t>
  </si>
  <si>
    <r>
      <t>Monthly Reference Evapotranspiration ET</t>
    </r>
    <r>
      <rPr>
        <vertAlign val="subscript"/>
        <sz val="14"/>
        <color indexed="9"/>
        <rFont val="Arial"/>
        <family val="2"/>
      </rPr>
      <t>0</t>
    </r>
  </si>
  <si>
    <r>
      <rPr>
        <sz val="11"/>
        <rFont val="Calibri"/>
        <family val="2"/>
      </rPr>
      <t xml:space="preserve">Source: </t>
    </r>
    <r>
      <rPr>
        <u/>
        <sz val="11"/>
        <color theme="10"/>
        <rFont val="Calibri"/>
        <family val="2"/>
      </rPr>
      <t>http://www.ifpri.org/sites/default/files/publications/ifpridp01248.pdf</t>
    </r>
  </si>
  <si>
    <t>RRD</t>
  </si>
  <si>
    <t>MRD</t>
  </si>
  <si>
    <t>NE</t>
  </si>
  <si>
    <t>NW</t>
  </si>
  <si>
    <t>SCC</t>
  </si>
  <si>
    <t>NCC</t>
  </si>
  <si>
    <t>CHL</t>
  </si>
  <si>
    <t>SE</t>
  </si>
  <si>
    <t xml:space="preserve">MRD </t>
  </si>
  <si>
    <t xml:space="preserve">SE </t>
  </si>
  <si>
    <r>
      <t>Average ET</t>
    </r>
    <r>
      <rPr>
        <vertAlign val="subscript"/>
        <sz val="10"/>
        <color indexed="9"/>
        <rFont val="Arial"/>
        <family val="2"/>
      </rPr>
      <t>0</t>
    </r>
    <r>
      <rPr>
        <sz val="10"/>
        <color indexed="9"/>
        <rFont val="Arial"/>
        <family val="2"/>
      </rPr>
      <t xml:space="preserve">  / Total E</t>
    </r>
    <r>
      <rPr>
        <vertAlign val="subscript"/>
        <sz val="10"/>
        <color indexed="9"/>
        <rFont val="Arial"/>
        <family val="2"/>
      </rPr>
      <t>rain</t>
    </r>
    <r>
      <rPr>
        <sz val="10"/>
        <color indexed="9"/>
        <rFont val="Arial"/>
        <family val="2"/>
      </rPr>
      <t xml:space="preserve"> </t>
    </r>
  </si>
  <si>
    <r>
      <t>ET</t>
    </r>
    <r>
      <rPr>
        <vertAlign val="subscript"/>
        <sz val="10"/>
        <color indexed="9"/>
        <rFont val="Arial"/>
        <family val="2"/>
      </rPr>
      <t xml:space="preserve">0 </t>
    </r>
    <r>
      <rPr>
        <sz val="10"/>
        <color indexed="9"/>
        <rFont val="Arial"/>
        <family val="2"/>
      </rPr>
      <t>(mm/month)</t>
    </r>
  </si>
  <si>
    <r>
      <t>E</t>
    </r>
    <r>
      <rPr>
        <vertAlign val="subscript"/>
        <sz val="10"/>
        <color indexed="9"/>
        <rFont val="Arial"/>
        <family val="2"/>
      </rPr>
      <t xml:space="preserve">rain </t>
    </r>
    <r>
      <rPr>
        <sz val="10"/>
        <color indexed="9"/>
        <rFont val="Arial"/>
        <family val="2"/>
      </rPr>
      <t>(mm/month)</t>
    </r>
  </si>
  <si>
    <r>
      <t>Override values for E</t>
    </r>
    <r>
      <rPr>
        <vertAlign val="subscript"/>
        <sz val="10"/>
        <color indexed="9"/>
        <rFont val="Arial"/>
        <family val="2"/>
      </rPr>
      <t xml:space="preserve">rain </t>
    </r>
    <r>
      <rPr>
        <sz val="10"/>
        <color indexed="9"/>
        <rFont val="Arial"/>
        <family val="2"/>
      </rPr>
      <t>(mm/month)</t>
    </r>
  </si>
  <si>
    <t>Vegetation Type</t>
  </si>
  <si>
    <r>
      <t>Landscape Area (m</t>
    </r>
    <r>
      <rPr>
        <vertAlign val="superscript"/>
        <sz val="10"/>
        <color rgb="FFFFFFFF"/>
        <rFont val="Arial"/>
        <family val="2"/>
      </rPr>
      <t>2</t>
    </r>
    <r>
      <rPr>
        <sz val="10"/>
        <color rgb="FFFFFFFF"/>
        <rFont val="Arial"/>
        <family val="2"/>
      </rPr>
      <t>)</t>
    </r>
  </si>
  <si>
    <t>Species Factor (Ks)</t>
  </si>
  <si>
    <t xml:space="preserve">Density Factor (Kd) </t>
  </si>
  <si>
    <t>Microclimate Factor (Km)</t>
  </si>
  <si>
    <t xml:space="preserve">Irrigation Efficiency (IE) </t>
  </si>
  <si>
    <t>% of landscape area sheltered from rainfall</t>
  </si>
  <si>
    <r>
      <t>Annual Irrigation Demand (m</t>
    </r>
    <r>
      <rPr>
        <vertAlign val="superscript"/>
        <sz val="10"/>
        <color rgb="FFFFFFFF"/>
        <rFont val="Arial"/>
        <family val="2"/>
      </rPr>
      <t>3</t>
    </r>
    <r>
      <rPr>
        <sz val="10"/>
        <color rgb="FFFFFFFF"/>
        <rFont val="Arial"/>
        <family val="2"/>
      </rPr>
      <t>)</t>
    </r>
  </si>
  <si>
    <r>
      <t>Average value of irrigation demand (m</t>
    </r>
    <r>
      <rPr>
        <vertAlign val="superscript"/>
        <sz val="11"/>
        <color indexed="9"/>
        <rFont val="Arial"/>
        <family val="2"/>
      </rPr>
      <t>3</t>
    </r>
    <r>
      <rPr>
        <sz val="11"/>
        <color indexed="9"/>
        <rFont val="Arial"/>
        <family val="2"/>
      </rPr>
      <t>/m</t>
    </r>
    <r>
      <rPr>
        <vertAlign val="superscript"/>
        <sz val="11"/>
        <color indexed="9"/>
        <rFont val="Arial"/>
        <family val="2"/>
      </rPr>
      <t>2</t>
    </r>
    <r>
      <rPr>
        <sz val="11"/>
        <color indexed="9"/>
        <rFont val="Arial"/>
        <family val="2"/>
      </rPr>
      <t>/year)</t>
    </r>
  </si>
  <si>
    <t>Irrigation Demand Reduction [%]</t>
  </si>
  <si>
    <t>1. General</t>
  </si>
  <si>
    <t>uncertified</t>
  </si>
  <si>
    <t>certified</t>
  </si>
  <si>
    <t>silver</t>
  </si>
  <si>
    <t>gold</t>
  </si>
  <si>
    <t>platinum</t>
  </si>
  <si>
    <t>Ventilation exhaust type</t>
  </si>
  <si>
    <t>H&amp;C</t>
  </si>
  <si>
    <t>LE</t>
  </si>
  <si>
    <t>C&amp;M</t>
  </si>
  <si>
    <t>Ready to submit?</t>
  </si>
  <si>
    <t xml:space="preserve">Points </t>
  </si>
  <si>
    <t>Rated power (W)</t>
  </si>
  <si>
    <t>Lumen output (lm)</t>
  </si>
  <si>
    <t>Appliance name</t>
  </si>
  <si>
    <t>Option B: Heat pump water heating</t>
  </si>
  <si>
    <t>→ The system should have a COP value higher than VBEEC requirements</t>
  </si>
  <si>
    <t>Energy efficiency of the Heat pump water heating system:</t>
  </si>
  <si>
    <t>Average COP:</t>
  </si>
  <si>
    <t>Average:</t>
  </si>
  <si>
    <t>For 1 point, average luminous efficacy is higher than 60 lm/W 
For 2 points, average luminous efficacy is higher than 70 lm/W 
For 3 points, average luminous efficacy is higher than 80 lm/W</t>
  </si>
  <si>
    <r>
      <t>Lighting Power Density (W/m</t>
    </r>
    <r>
      <rPr>
        <vertAlign val="superscript"/>
        <sz val="11"/>
        <color theme="0"/>
        <rFont val="Arial"/>
        <family val="2"/>
      </rPr>
      <t>2</t>
    </r>
    <r>
      <rPr>
        <sz val="11"/>
        <color theme="0"/>
        <rFont val="Arial"/>
        <family val="2"/>
      </rPr>
      <t>)</t>
    </r>
  </si>
  <si>
    <t>Pourcentage of appliances installed with an energy efficiency label</t>
  </si>
  <si>
    <t>Note that the performance path is not appropriate when the lighting in the building is designed to have different possible lighting configurations (numerous choices in the lighting)</t>
  </si>
  <si>
    <t>Indeed, with many light fixtures (that would not all be lit at the same time), the LPD is likely to have a high value even if the lighting is well-designed with efficient lights.</t>
  </si>
  <si>
    <t>Click on the links on the right to navigate to other Water credits</t>
  </si>
  <si>
    <t>Click on the links on the right to navigate to other Energy credits</t>
  </si>
  <si>
    <r>
      <t>³</t>
    </r>
    <r>
      <rPr>
        <sz val="10"/>
        <color theme="1"/>
        <rFont val="Arial"/>
        <family val="2"/>
      </rPr>
      <t xml:space="preserve"> 7 kW and &lt; 14 kW</t>
    </r>
  </si>
  <si>
    <r>
      <t>³</t>
    </r>
    <r>
      <rPr>
        <sz val="10"/>
        <color theme="1"/>
        <rFont val="Arial"/>
        <family val="2"/>
      </rPr>
      <t xml:space="preserve"> 14 kW and &lt; 19 kW</t>
    </r>
  </si>
  <si>
    <t>&lt;4.5 kW</t>
  </si>
  <si>
    <t>&gt;= 19 kW to &lt; 40 kW</t>
  </si>
  <si>
    <r>
      <t xml:space="preserve">&gt;= </t>
    </r>
    <r>
      <rPr>
        <sz val="10"/>
        <color theme="1"/>
        <rFont val="Arial"/>
        <family val="2"/>
      </rPr>
      <t xml:space="preserve"> 40 kW to &lt; 70 kW</t>
    </r>
  </si>
  <si>
    <t>Cooling capacity
(kW)</t>
  </si>
  <si>
    <t>Click on the links on 
the right to navigate to 
other Energy credits</t>
  </si>
  <si>
    <t>Room</t>
  </si>
  <si>
    <t>Number of fans installed</t>
  </si>
  <si>
    <r>
      <t>Fan density 
(# / 20m</t>
    </r>
    <r>
      <rPr>
        <vertAlign val="superscript"/>
        <sz val="10"/>
        <color indexed="9"/>
        <rFont val="Arial"/>
        <family val="2"/>
      </rPr>
      <t>2</t>
    </r>
    <r>
      <rPr>
        <sz val="10"/>
        <color indexed="9"/>
        <rFont val="Arial"/>
        <family val="2"/>
      </rPr>
      <t>)</t>
    </r>
  </si>
  <si>
    <t>Prescriptive Path for Strategy A</t>
  </si>
  <si>
    <t>Performance Path for Strategy A</t>
  </si>
  <si>
    <t>Prescriptive Path  for Strategy B</t>
  </si>
  <si>
    <t>Performance Path for Strategy B</t>
  </si>
  <si>
    <t>lightweight hollow blocks</t>
  </si>
  <si>
    <t>AAC blocks</t>
  </si>
  <si>
    <t>a green roof</t>
  </si>
  <si>
    <t>For 3 points, only bedrooms are equipped with air-conditioning systems</t>
  </si>
  <si>
    <t>For 6 points, no air-conditioning system is installed in the building</t>
  </si>
  <si>
    <t>Click on the links on the right to navigate to other Health &amp; Comfort credits</t>
  </si>
  <si>
    <t>Pre-assessment stage</t>
  </si>
  <si>
    <t>For 1 point, install dual flush low flow WCs</t>
  </si>
  <si>
    <t>For 2 points, install low flow shower heads</t>
  </si>
  <si>
    <t>For 1 point, install low flow kitchen and bathroom taps</t>
  </si>
  <si>
    <r>
      <rPr>
        <b/>
        <sz val="10"/>
        <rFont val="Arial"/>
        <family val="2"/>
      </rPr>
      <t>Strategy A: Vegetated Area in outdoor garden</t>
    </r>
    <r>
      <rPr>
        <sz val="10"/>
        <rFont val="Arial"/>
        <family val="2"/>
      </rPr>
      <t xml:space="preserve">
For 1 point, 15% of the total site area is vegetated with native or adapted vegetation 
For 2 points, 30% of the total site area is vegetated with native or adapted vegetation </t>
    </r>
  </si>
  <si>
    <t>Strategy A: Vegetated Area in outdoor garden</t>
  </si>
  <si>
    <t>Strategy B: Pot Plants</t>
  </si>
  <si>
    <t>Type of plant</t>
  </si>
  <si>
    <t>Width of the pot 
(mm)</t>
  </si>
  <si>
    <t>• submit all the evidence required by LOTUS Homes</t>
  </si>
  <si>
    <t>Other rooms in the house</t>
  </si>
  <si>
    <t xml:space="preserve">For any enquiries about LOTUS Homes, please contact VGBC at: </t>
  </si>
  <si>
    <t>certification@vgbc.org.vn</t>
  </si>
  <si>
    <t>Strategy A: U-values of walls and roof</t>
  </si>
  <si>
    <t>Strategy B: SHGC values of glazing</t>
  </si>
  <si>
    <t>other materials</t>
  </si>
  <si>
    <t>Mechanically ventilated spaces are spaces where a mechanical ventilation system directly supplies fresh air into the space.</t>
  </si>
  <si>
    <t>Ventilation Type</t>
  </si>
  <si>
    <t>List and area of openings to the outdoors</t>
  </si>
  <si>
    <t>Strategy A: Paints and coatings</t>
  </si>
  <si>
    <t>Strategy B: Adhesives and sealants</t>
  </si>
  <si>
    <t>Strategy C: Construction noise</t>
  </si>
  <si>
    <t>Strategy D: Neighbourhood Impact Plan</t>
  </si>
  <si>
    <t>Strategy E: Construction Worker Management</t>
  </si>
  <si>
    <t>Implement a Construction Noise Mitigation Strategy with adequate mitigation measures to limit construction noise</t>
  </si>
  <si>
    <r>
      <rPr>
        <sz val="10"/>
        <rFont val="Calibri"/>
        <family val="2"/>
      </rPr>
      <t>•</t>
    </r>
    <r>
      <rPr>
        <sz val="10"/>
        <rFont val="Arial"/>
        <family val="2"/>
      </rPr>
      <t xml:space="preserve"> Identification of noise sensitive locations</t>
    </r>
  </si>
  <si>
    <t>List of noise sensitive locations</t>
  </si>
  <si>
    <r>
      <rPr>
        <sz val="10"/>
        <rFont val="Calibri"/>
        <family val="2"/>
      </rPr>
      <t>•</t>
    </r>
    <r>
      <rPr>
        <sz val="10"/>
        <rFont val="Arial"/>
        <family val="2"/>
      </rPr>
      <t xml:space="preserve"> Identification of high impact construction practices</t>
    </r>
  </si>
  <si>
    <t>List of high impact construction practices</t>
  </si>
  <si>
    <t>List of measures implemented</t>
  </si>
  <si>
    <t>Compliant Construction Noise Mitigation Strategy ?</t>
  </si>
  <si>
    <t>Compliant Neighbourhood Impact Plan?</t>
  </si>
  <si>
    <t>Compliant Construction Worker Management Plan?</t>
  </si>
  <si>
    <t>A Building Operation &amp; Maintenance Manual should be formed and kept in the house.</t>
  </si>
  <si>
    <t>This manual should be a folder or a jacket including the documents with necessary information for the operation and maintenance of the building</t>
  </si>
  <si>
    <t>Compliant Building Operation &amp; Maintenance Manual?</t>
  </si>
  <si>
    <t>Description of the outcomes of the Eco-Charrette:</t>
  </si>
  <si>
    <t>Aim of the measure</t>
  </si>
  <si>
    <r>
      <rPr>
        <sz val="10"/>
        <rFont val="Calibri"/>
        <family val="2"/>
      </rPr>
      <t>•</t>
    </r>
    <r>
      <rPr>
        <sz val="10"/>
        <rFont val="Arial"/>
        <family val="2"/>
      </rPr>
      <t xml:space="preserve"> Identification and implementation of measures to reduce noise impact on sensitive receivers (at least 2 measures should be implemented)</t>
    </r>
  </si>
  <si>
    <t>Construction hours</t>
  </si>
  <si>
    <t>Total number of workers on site</t>
  </si>
  <si>
    <t>Location of rubbish and waste collection of workers</t>
  </si>
  <si>
    <t>Location of toilet facilities for workers</t>
  </si>
  <si>
    <t>Worker rest areas on site</t>
  </si>
  <si>
    <t>Implement a construction and demolition waste minimisation strategy</t>
  </si>
  <si>
    <t>Compliant waste management?</t>
  </si>
  <si>
    <t>Achieved</t>
  </si>
  <si>
    <t>Certification level</t>
  </si>
  <si>
    <t>Effective cross ventilation?</t>
  </si>
  <si>
    <t>Living rooms and bedrooms</t>
  </si>
  <si>
    <t>Continuous air flow path?</t>
  </si>
  <si>
    <t>Window openings location?</t>
  </si>
  <si>
    <t>Distance between the openings (m)</t>
  </si>
  <si>
    <r>
      <rPr>
        <sz val="10"/>
        <rFont val="Calibri"/>
        <family val="2"/>
      </rPr>
      <t>•</t>
    </r>
    <r>
      <rPr>
        <sz val="10"/>
        <rFont val="Arial"/>
        <family val="2"/>
      </rPr>
      <t xml:space="preserve"> Storm water drainage to avoid water pollution</t>
    </r>
  </si>
  <si>
    <t>Potential disturbances during construction</t>
  </si>
  <si>
    <t>Compliant Stormwater pollution prevention, erosion control and sediment control?</t>
  </si>
  <si>
    <t>These measures should be implemented before the beginning of land disturbance.</t>
  </si>
  <si>
    <t>ee</t>
  </si>
  <si>
    <t>…</t>
  </si>
  <si>
    <t>Type of waste</t>
  </si>
  <si>
    <t>Disposal location</t>
  </si>
  <si>
    <t>Disposal option</t>
  </si>
  <si>
    <t>Compliant construction and demolition waste minimisation strategy?</t>
  </si>
  <si>
    <t>Strategies to reduce the generation of waste</t>
  </si>
  <si>
    <t xml:space="preserve">No documentation needs to be submitted for this strategy. </t>
  </si>
  <si>
    <t>At least 3 types of waste should be considered in the table below.</t>
  </si>
  <si>
    <t>Energy Best Practice Credits</t>
  </si>
  <si>
    <r>
      <rPr>
        <b/>
        <sz val="10"/>
        <rFont val="Arial"/>
        <family val="2"/>
      </rPr>
      <t>E-BPC-1 OTTV calculation</t>
    </r>
    <r>
      <rPr>
        <sz val="10"/>
        <rFont val="Arial"/>
        <family val="2"/>
      </rPr>
      <t xml:space="preserve">
Building’s average OTTV surpasses VBEEC requirements by 40%</t>
    </r>
  </si>
  <si>
    <t>Best Practice Credits Requirements</t>
  </si>
  <si>
    <r>
      <rPr>
        <b/>
        <sz val="10"/>
        <rFont val="Arial"/>
        <family val="2"/>
      </rPr>
      <t>E-BPC-3 Home Energy Controls</t>
    </r>
    <r>
      <rPr>
        <sz val="10"/>
        <rFont val="Arial"/>
        <family val="2"/>
      </rPr>
      <t xml:space="preserve">
Install at least 2 different types of energy control solutions in the house</t>
    </r>
  </si>
  <si>
    <t>E-BPC-1 OTTV calculation</t>
  </si>
  <si>
    <t>OTTV Improvement (%)</t>
  </si>
  <si>
    <t>E-BPC-2 Renewable Energy</t>
  </si>
  <si>
    <t>Total power output (kW)</t>
  </si>
  <si>
    <t>E-BPC-3 Home Energy Controls</t>
  </si>
  <si>
    <t>Energy control solution</t>
  </si>
  <si>
    <t>Compliant energy control solutions?</t>
  </si>
  <si>
    <t>Water Best Practice Credits</t>
  </si>
  <si>
    <t>Best Practice Credits requirements</t>
  </si>
  <si>
    <t>W-BPC-1 Rainwater Harvesting</t>
  </si>
  <si>
    <r>
      <rPr>
        <b/>
        <sz val="10"/>
        <rFont val="Arial"/>
        <family val="2"/>
      </rPr>
      <t>W-BPC-1 Rainwater Harvesting</t>
    </r>
    <r>
      <rPr>
        <sz val="10"/>
        <rFont val="Arial"/>
        <family val="2"/>
      </rPr>
      <t xml:space="preserve">
Install a rainwater harvesting system to catch rainwater falling on the roof</t>
    </r>
  </si>
  <si>
    <r>
      <rPr>
        <b/>
        <sz val="10"/>
        <rFont val="Arial"/>
        <family val="2"/>
      </rPr>
      <t>W-BPC-3 Swimming Pool Water Efficiency</t>
    </r>
    <r>
      <rPr>
        <sz val="10"/>
        <rFont val="Arial"/>
        <family val="2"/>
      </rPr>
      <t xml:space="preserve">
Implement strategies to reduce water use for swimming pools</t>
    </r>
  </si>
  <si>
    <t>M-1 Building Structure</t>
  </si>
  <si>
    <t>M-6</t>
  </si>
  <si>
    <t>Select the unit used for the credit:</t>
  </si>
  <si>
    <t>The selected unit must be applied consistently for all materials throughout the calculations.</t>
  </si>
  <si>
    <r>
      <t>Area of the room (m</t>
    </r>
    <r>
      <rPr>
        <vertAlign val="superscript"/>
        <sz val="10"/>
        <color theme="0"/>
        <rFont val="Arial"/>
        <family val="2"/>
      </rPr>
      <t>2</t>
    </r>
    <r>
      <rPr>
        <sz val="10"/>
        <color theme="0"/>
        <rFont val="Arial"/>
        <family val="2"/>
      </rPr>
      <t>)</t>
    </r>
  </si>
  <si>
    <t>Maintenance factor</t>
  </si>
  <si>
    <t>Reflectance of room surfaces</t>
  </si>
  <si>
    <t>Breadth</t>
  </si>
  <si>
    <t>Height</t>
  </si>
  <si>
    <t>Ceiling</t>
  </si>
  <si>
    <t>Wall</t>
  </si>
  <si>
    <t>Floor</t>
  </si>
  <si>
    <r>
      <t>Room dimensions (m</t>
    </r>
    <r>
      <rPr>
        <sz val="10"/>
        <color theme="0"/>
        <rFont val="Arial"/>
        <family val="2"/>
      </rPr>
      <t>)</t>
    </r>
  </si>
  <si>
    <r>
      <t>Glazed area of windows (m</t>
    </r>
    <r>
      <rPr>
        <vertAlign val="superscript"/>
        <sz val="10"/>
        <color theme="0"/>
        <rFont val="Arial"/>
        <family val="2"/>
      </rPr>
      <t>2</t>
    </r>
    <r>
      <rPr>
        <sz val="10"/>
        <color theme="0"/>
        <rFont val="Arial"/>
        <family val="2"/>
      </rPr>
      <t>)</t>
    </r>
  </si>
  <si>
    <t>Angle of visible sky (degrees)</t>
  </si>
  <si>
    <t>Internal surface area of the space [m2]</t>
  </si>
  <si>
    <t>Average reflectance</t>
  </si>
  <si>
    <t>Length</t>
  </si>
  <si>
    <t>Compliant Area Percentage [%]</t>
  </si>
  <si>
    <r>
      <t>Habitable area with daylighting (m</t>
    </r>
    <r>
      <rPr>
        <vertAlign val="superscript"/>
        <sz val="11"/>
        <color theme="0"/>
        <rFont val="Arial"/>
        <family val="2"/>
      </rPr>
      <t>2</t>
    </r>
    <r>
      <rPr>
        <sz val="11"/>
        <color theme="0"/>
        <rFont val="Arial"/>
        <family val="2"/>
      </rPr>
      <t>)</t>
    </r>
  </si>
  <si>
    <r>
      <rPr>
        <sz val="12"/>
        <color indexed="9"/>
        <rFont val="Arial"/>
        <family val="2"/>
      </rPr>
      <t xml:space="preserve">Shower heads
</t>
    </r>
    <r>
      <rPr>
        <sz val="10"/>
        <color indexed="9"/>
        <rFont val="Arial"/>
        <family val="2"/>
      </rPr>
      <t>Fixture Name</t>
    </r>
  </si>
  <si>
    <t>Windows and doors</t>
  </si>
  <si>
    <t>Roofing materials</t>
  </si>
  <si>
    <t>Flooring materials</t>
  </si>
  <si>
    <t>Building Structure</t>
  </si>
  <si>
    <t>M-2 Non-structural walls &amp; ceilings</t>
  </si>
  <si>
    <t>M-3 Windows and doors</t>
  </si>
  <si>
    <t>M-4 Flooring materials</t>
  </si>
  <si>
    <t>M-5 Roofing materials</t>
  </si>
  <si>
    <t>M-6 Fitted Furniture</t>
  </si>
  <si>
    <t>Community &amp; Management Best Practice Credits</t>
  </si>
  <si>
    <r>
      <rPr>
        <b/>
        <sz val="10"/>
        <rFont val="Arial"/>
        <family val="2"/>
      </rPr>
      <t>CM-BPC-1 LOTUS AP</t>
    </r>
    <r>
      <rPr>
        <sz val="10"/>
        <rFont val="Arial"/>
        <family val="2"/>
      </rPr>
      <t xml:space="preserve">
Involve a LOTUS AP in the project team</t>
    </r>
  </si>
  <si>
    <t>CM-BPC-1 LOTUS AP</t>
  </si>
  <si>
    <t>W-BPC-2 Domestic Water reuse</t>
  </si>
  <si>
    <t>W-BPC-3 Swimming Pool Water Efficiency</t>
  </si>
  <si>
    <t>A LOTUS AP should be appointed with direct responsibility to ensure that all sustainable aspects of the project are met throughout the project lifecycle.</t>
  </si>
  <si>
    <t>VOC content of the product [g/L]</t>
  </si>
  <si>
    <t xml:space="preserve">The following steps should be followed to ensure a good composting: </t>
  </si>
  <si>
    <r>
      <t>1.</t>
    </r>
    <r>
      <rPr>
        <sz val="10"/>
        <color theme="1"/>
        <rFont val="Arial"/>
        <family val="2"/>
      </rPr>
      <t>    Start your compost pile on bare earth. This allows worms and other beneficial organisms to aerate the compost and be transported to your garden beds.</t>
    </r>
  </si>
  <si>
    <r>
      <t>2.</t>
    </r>
    <r>
      <rPr>
        <sz val="10"/>
        <color theme="1"/>
        <rFont val="Arial"/>
        <family val="2"/>
      </rPr>
      <t xml:space="preserve">    Lay twigs or straw first, a few centimeters deep. This aids drainage and helps aerate the pile </t>
    </r>
  </si>
  <si>
    <r>
      <t>3.</t>
    </r>
    <r>
      <rPr>
        <sz val="10"/>
        <color theme="1"/>
        <rFont val="Arial"/>
        <family val="2"/>
      </rPr>
      <t xml:space="preserve">    Add compost materials in layers, alternating moist and dry. Moist ingredients are food scraps, tea bags, seaweed, etc. Dry materials are straw, leaves, sawdust pellets, etc. </t>
    </r>
  </si>
  <si>
    <r>
      <t>4.</t>
    </r>
    <r>
      <rPr>
        <sz val="10"/>
        <color theme="1"/>
        <rFont val="Arial"/>
        <family val="2"/>
      </rPr>
      <t>    Add manure, green manure (clover, buckwheat, wheatgrass, grass clippings) or any nitrogen source. This activates the compost pile and speeds the process along.</t>
    </r>
  </si>
  <si>
    <r>
      <t>5.</t>
    </r>
    <r>
      <rPr>
        <sz val="10"/>
        <color theme="1"/>
        <rFont val="Arial"/>
        <family val="2"/>
      </rPr>
      <t>    Keep compost moist. Water occasionally, or let rain do the job.</t>
    </r>
  </si>
  <si>
    <r>
      <t>7.</t>
    </r>
    <r>
      <rPr>
        <sz val="10"/>
        <color theme="1"/>
        <rFont val="Arial"/>
        <family val="2"/>
      </rPr>
      <t>    Turn. Every few weeks give the pile a quick turn with a pitchfork or shovel. This aerates the pile. Oxygen is required for the process to work, and turning "adds" oxygen. You can skip this step if you have a ready supply of coarse material, like straw.</t>
    </r>
  </si>
  <si>
    <r>
      <t>6.</t>
    </r>
    <r>
      <rPr>
        <sz val="10"/>
        <color theme="1"/>
        <rFont val="Arial"/>
        <family val="2"/>
      </rPr>
      <t>    Cover the compost bin. Covering helps retain moisture and heat, two essentials for compost. Covering also prevents the compost from being over-watered by rain. 
The compost should be moist, but not soaked and sodden.</t>
    </r>
  </si>
  <si>
    <t>Compliant composting?</t>
  </si>
  <si>
    <t xml:space="preserve">LE-BPC-1 Composting 
</t>
  </si>
  <si>
    <t>Install a compost bin to compost organic wastes</t>
  </si>
  <si>
    <t>LE-BPC-1 Composting</t>
  </si>
  <si>
    <t>Activities may be, but are not limited to, the following:</t>
  </si>
  <si>
    <r>
      <rPr>
        <sz val="10"/>
        <rFont val="Calibri"/>
        <family val="2"/>
      </rPr>
      <t>•</t>
    </r>
    <r>
      <rPr>
        <sz val="10"/>
        <rFont val="Arial"/>
        <family val="2"/>
      </rPr>
      <t xml:space="preserve"> Publish a website with at least two pages that provides detailed information about the features and benefits of owning a certified LOTUS Homes.</t>
    </r>
  </si>
  <si>
    <r>
      <rPr>
        <sz val="10"/>
        <rFont val="Calibri"/>
        <family val="2"/>
      </rPr>
      <t>•</t>
    </r>
    <r>
      <rPr>
        <sz val="10"/>
        <rFont val="Arial"/>
        <family val="2"/>
      </rPr>
      <t xml:space="preserve"> Generate a newspaper article on the LOTUS Homes project</t>
    </r>
  </si>
  <si>
    <r>
      <rPr>
        <sz val="10"/>
        <rFont val="Calibri"/>
        <family val="2"/>
      </rPr>
      <t>•</t>
    </r>
    <r>
      <rPr>
        <sz val="10"/>
        <rFont val="Arial"/>
        <family val="2"/>
      </rPr>
      <t xml:space="preserve"> Hold an advertised, attended public open house that lasts at least four hours per day on at least two weekends, or participate in a green building exhibition or tour. 
Offer a guided tour that highlights green building features.</t>
    </r>
  </si>
  <si>
    <r>
      <rPr>
        <sz val="10"/>
        <rFont val="Calibri"/>
        <family val="2"/>
      </rPr>
      <t>•</t>
    </r>
    <r>
      <rPr>
        <sz val="10"/>
        <rFont val="Arial"/>
        <family val="2"/>
      </rPr>
      <t xml:space="preserve"> Display LOTUS signage, on the exterior of the home or building. </t>
    </r>
  </si>
  <si>
    <t>Promote general public awareness about LOTUS Homes and Green Buildings by conducting at least two activities.</t>
  </si>
  <si>
    <t>Activity 1</t>
  </si>
  <si>
    <t>Name of the activity</t>
  </si>
  <si>
    <t>Description of the activity</t>
  </si>
  <si>
    <t>Activity 2</t>
  </si>
  <si>
    <t>Compliant Public Awareness Campaign?</t>
  </si>
  <si>
    <t>Compliant Construction Management Plan?</t>
  </si>
  <si>
    <t>Description of the tasks and responsibilities of the LOTUS AP</t>
  </si>
  <si>
    <t>Compliant LOTUS AP involvement?</t>
  </si>
  <si>
    <t>Name of the LOTUS AP</t>
  </si>
  <si>
    <t>LOTUS AP No. of Certificate</t>
  </si>
  <si>
    <t>Name of the plant</t>
  </si>
  <si>
    <t xml:space="preserve">• Drip or bubble irrigation systems that apply water directly to the roots of plants. </t>
  </si>
  <si>
    <t>• Irrigation systems fitted with manual timers (with a maximum range of two hours)</t>
  </si>
  <si>
    <t>• Irrigation systems fitted with automated timers (used with a soil moisture sensor or rain sensor)</t>
  </si>
  <si>
    <t>Density Factor (Kd)</t>
  </si>
  <si>
    <t>Low</t>
  </si>
  <si>
    <t>Average</t>
  </si>
  <si>
    <t>High</t>
  </si>
  <si>
    <t>Trees</t>
  </si>
  <si>
    <t>Shrubs</t>
  </si>
  <si>
    <t>Groundcover</t>
  </si>
  <si>
    <t>Lawn</t>
  </si>
  <si>
    <t>Standard values for species, density and microclimate factors of vegetated areas (Source: LEED Reference Guide for Green Building and Construction, 2009)</t>
  </si>
  <si>
    <t xml:space="preserve">Kmi = Microclimate factor specific for sub-area i (e.g. well shaded and sheltered area Km - “low”, area next to pavement or on roof - “high”) </t>
  </si>
  <si>
    <t>Ksi = Species factor specific for sub-area i (for the purposes of this calculation Ks for all native species can be considered as “low”)</t>
  </si>
  <si>
    <t>Kdi = Density factor specific for sub-area i</t>
  </si>
  <si>
    <t>Please click on the images below to navigate to the different categories.</t>
  </si>
  <si>
    <t>Sustainable material?</t>
  </si>
  <si>
    <t>Health &amp; Comfort Best Practice Credits</t>
  </si>
  <si>
    <r>
      <rPr>
        <b/>
        <sz val="10"/>
        <rFont val="Arial"/>
        <family val="2"/>
      </rPr>
      <t>H-BPC-2 Lighting Comfort</t>
    </r>
    <r>
      <rPr>
        <sz val="10"/>
        <rFont val="Arial"/>
        <family val="2"/>
      </rPr>
      <t xml:space="preserve">
95% of the habitable spaces meet recommended illuminance levels</t>
    </r>
  </si>
  <si>
    <t>Slope</t>
  </si>
  <si>
    <t>Window Condition</t>
  </si>
  <si>
    <t xml:space="preserve">Clean </t>
  </si>
  <si>
    <t>Dirty</t>
  </si>
  <si>
    <t>Non-Industrial Area</t>
  </si>
  <si>
    <t>Vertical</t>
  </si>
  <si>
    <t>Sloping</t>
  </si>
  <si>
    <t>Horizontal</t>
  </si>
  <si>
    <t>Dirty Industrial Area</t>
  </si>
  <si>
    <t>Angle of visible sky from the mid-point of the window</t>
  </si>
  <si>
    <t>Room Surface</t>
  </si>
  <si>
    <t>Recommended Reflectance</t>
  </si>
  <si>
    <t>Walls</t>
  </si>
  <si>
    <r>
      <rPr>
        <b/>
        <sz val="10"/>
        <rFont val="Arial"/>
        <family val="2"/>
      </rPr>
      <t>Recommended average reflectance values</t>
    </r>
    <r>
      <rPr>
        <sz val="10"/>
        <rFont val="Arial"/>
        <family val="2"/>
      </rPr>
      <t xml:space="preserve"> </t>
    </r>
  </si>
  <si>
    <t>Source: CIBSE Guide F Energy Efficiency in Buildings</t>
  </si>
  <si>
    <r>
      <rPr>
        <b/>
        <sz val="10"/>
        <rFont val="Arial"/>
        <family val="2"/>
      </rPr>
      <t>Maintenance factors</t>
    </r>
    <r>
      <rPr>
        <sz val="10"/>
        <rFont val="Arial"/>
        <family val="2"/>
      </rPr>
      <t xml:space="preserve"> </t>
    </r>
  </si>
  <si>
    <t>Source: Introduction to Architectural Science. Steven V. Szokolay</t>
  </si>
  <si>
    <t>H-4 Daylighting (Performance Path)</t>
  </si>
  <si>
    <t>Feedback Form</t>
  </si>
  <si>
    <t>Contact Information</t>
  </si>
  <si>
    <t>Full Name:</t>
  </si>
  <si>
    <t xml:space="preserve">Organisation/Company:
</t>
  </si>
  <si>
    <t>Email address:</t>
  </si>
  <si>
    <t>Feedback</t>
  </si>
  <si>
    <t>1. Questions</t>
  </si>
  <si>
    <t>2. General feedback</t>
  </si>
  <si>
    <t xml:space="preserve">E-3 </t>
  </si>
  <si>
    <t>Title</t>
  </si>
  <si>
    <t xml:space="preserve">W-3 </t>
  </si>
  <si>
    <t xml:space="preserve">M-1 </t>
  </si>
  <si>
    <t>Ventilation in Wet Areas</t>
  </si>
  <si>
    <t>Waste Management</t>
  </si>
  <si>
    <t>Exceptional Performance Enhancement</t>
  </si>
  <si>
    <t>Innovative techniques/initiative</t>
  </si>
  <si>
    <t>Comments may be related to the actual content of credits or related to the use of the tool (bugs, mistakes, practicality, etc.)</t>
  </si>
  <si>
    <t>Passive design</t>
  </si>
  <si>
    <t>Home Cooling</t>
  </si>
  <si>
    <t xml:space="preserve">Energy Monitors </t>
  </si>
  <si>
    <t>E-BPC</t>
  </si>
  <si>
    <t>W-BPC</t>
  </si>
  <si>
    <t xml:space="preserve">Drinking Water </t>
  </si>
  <si>
    <t>H-BPC</t>
  </si>
  <si>
    <t>LE-BPC</t>
  </si>
  <si>
    <t>CM-BPC</t>
  </si>
  <si>
    <t xml:space="preserve">Storm Water Runoff </t>
  </si>
  <si>
    <t>Flood Risk Mitigation</t>
  </si>
  <si>
    <t>Composting</t>
  </si>
  <si>
    <t xml:space="preserve">Strategy C: Solar radiation through windows </t>
  </si>
  <si>
    <t>Strategy B: Heat transfer through roofs</t>
  </si>
  <si>
    <t>Strategy A: Heat transfer through walls</t>
  </si>
  <si>
    <t>limit solar radiation?</t>
  </si>
  <si>
    <t xml:space="preserve">Compliant external walls? </t>
  </si>
  <si>
    <t xml:space="preserve">Compliant roofs? </t>
  </si>
  <si>
    <t>Please provide VGBC with any comment you may have.</t>
  </si>
  <si>
    <t>Instructions</t>
  </si>
  <si>
    <t>Graphical Results</t>
  </si>
  <si>
    <t>Project Information</t>
  </si>
  <si>
    <t>Categories</t>
  </si>
  <si>
    <t>Comments</t>
  </si>
  <si>
    <t>.</t>
  </si>
  <si>
    <t>Management</t>
  </si>
  <si>
    <t>LOTUS Homes is composed of 6 categories (plus “Innovation”), each containing a varying number of credits.</t>
  </si>
  <si>
    <r>
      <rPr>
        <b/>
        <sz val="11"/>
        <rFont val="Calibri"/>
        <family val="2"/>
        <scheme val="minor"/>
      </rPr>
      <t>•</t>
    </r>
    <r>
      <rPr>
        <b/>
        <sz val="11"/>
        <color rgb="FF0070C0"/>
        <rFont val="Calibri"/>
        <family val="2"/>
        <scheme val="minor"/>
      </rPr>
      <t xml:space="preserve"> Water (W)</t>
    </r>
    <r>
      <rPr>
        <sz val="11"/>
        <rFont val="Calibri"/>
        <family val="2"/>
        <scheme val="minor"/>
      </rPr>
      <t xml:space="preserve"> - To reduce the water consumption of a building through the use of water-efficient fixtures, rain water harvesting, water reuse/recycling and associated water saving measures.</t>
    </r>
  </si>
  <si>
    <t xml:space="preserve">This document must include a flood map, if available, identifying whether the selected site is within flood prone area. </t>
  </si>
  <si>
    <t>Water Use Through Fixtures Reduction (%)</t>
  </si>
  <si>
    <t>H-BPC-1 Indoor Air Pollution Prevention</t>
  </si>
  <si>
    <t>H-BPC-2 Lighting Comfort</t>
  </si>
  <si>
    <t>H-BPC-3 Acoustic Comfort</t>
  </si>
  <si>
    <t>Click on the link on the 
right to navigate to the 
other Innovation credit</t>
  </si>
  <si>
    <t xml:space="preserve">Innovation credits are considered on a case by case basis. </t>
  </si>
  <si>
    <t>LOTUS credit</t>
  </si>
  <si>
    <t xml:space="preserve">Exceptional Performance Enhancement </t>
  </si>
  <si>
    <t xml:space="preserve">There are two different cases where Exceptional Performance Enhancement points can be awarded: </t>
  </si>
  <si>
    <t xml:space="preserve">
Case 1: In a credit with two or more performance increments, the building performance exceeds the maximum credit requirement by an additional increment.
</t>
  </si>
  <si>
    <t xml:space="preserve">Case 2: In a credit with only one performance threshold, the building performance significantly exceeds the credit requirement. </t>
  </si>
  <si>
    <t>No documentation needs to be submitted here</t>
  </si>
  <si>
    <t xml:space="preserve">The VGBC reserves the right to not award points where adequate justification for the innovative nature of the strategy and environmental benefit cannot be provided. </t>
  </si>
  <si>
    <t>For this reason it is advisable to confirm the proposed innovation credit nature, thresholds and submittal requirements with the LOTUS team at any time prior to submittal.</t>
  </si>
  <si>
    <t>All units equipped with inverter?</t>
  </si>
  <si>
    <t xml:space="preserve">CO2 sensors should be installed in bedrooms and living rooms equipped with air-conditioning systems. </t>
  </si>
  <si>
    <t>Option B: Basic Combustion Venting Measures</t>
  </si>
  <si>
    <t>H-5</t>
  </si>
  <si>
    <t>Acoustic Comfort</t>
  </si>
  <si>
    <t>H-5 Acoustic Comfort</t>
  </si>
  <si>
    <r>
      <t>Design all walls and floors to comply with the requirements of TCXDVN 277:2002 on airborne and impact sound insulation for all classes</t>
    </r>
    <r>
      <rPr>
        <b/>
        <sz val="10"/>
        <rFont val="Arial"/>
        <family val="2"/>
      </rPr>
      <t/>
    </r>
  </si>
  <si>
    <t>Class</t>
  </si>
  <si>
    <t>Airborne Sound Insulation</t>
  </si>
  <si>
    <t>Class I</t>
  </si>
  <si>
    <t>Class II</t>
  </si>
  <si>
    <t>Class III</t>
  </si>
  <si>
    <t>Definition</t>
  </si>
  <si>
    <t>Elements requiring low sound insulation: 
Walls between rooms of the same unit</t>
  </si>
  <si>
    <t>Reduction of noise inside and outside of the building should be considered but not be limited to the following strategies:</t>
  </si>
  <si>
    <t>• Locate noise-sensitive areas away from noise-producing areas</t>
  </si>
  <si>
    <t>• Place acoustic buffers, such as corridors, lobbies, stairwells, electrical/janitorial closets and storage room, between noise-producing and noise-sensitive spaces</t>
  </si>
  <si>
    <t>• Proper slab construction between floors</t>
  </si>
  <si>
    <t>• Screens to reduce the impact of noise from external sources</t>
  </si>
  <si>
    <t>• Consider acoustical properties when selecting partitions and space dividers</t>
  </si>
  <si>
    <t>• Avoid locating outside air intake or exhaust-air-discharge opening near windows, doors, or vents where noise can re-enter the building</t>
  </si>
  <si>
    <r>
      <t>CK</t>
    </r>
    <r>
      <rPr>
        <vertAlign val="superscript"/>
        <sz val="10"/>
        <color rgb="FF000000"/>
        <rFont val="Arial"/>
        <family val="2"/>
      </rPr>
      <t>tc</t>
    </r>
    <r>
      <rPr>
        <sz val="10"/>
        <color rgb="FF000000"/>
        <rFont val="Arial"/>
        <family val="2"/>
      </rPr>
      <t xml:space="preserve"> ≥ 55 dB</t>
    </r>
  </si>
  <si>
    <r>
      <t>CK</t>
    </r>
    <r>
      <rPr>
        <vertAlign val="superscript"/>
        <sz val="10"/>
        <color rgb="FF000000"/>
        <rFont val="Arial"/>
        <family val="2"/>
      </rPr>
      <t>tc</t>
    </r>
    <r>
      <rPr>
        <sz val="10"/>
        <color rgb="FF000000"/>
        <rFont val="Arial"/>
        <family val="2"/>
      </rPr>
      <t xml:space="preserve"> ≥ 50 dB</t>
    </r>
  </si>
  <si>
    <r>
      <t>CK</t>
    </r>
    <r>
      <rPr>
        <vertAlign val="superscript"/>
        <sz val="10"/>
        <color rgb="FF000000"/>
        <rFont val="Arial"/>
        <family val="2"/>
      </rPr>
      <t>tc</t>
    </r>
    <r>
      <rPr>
        <sz val="10"/>
        <color rgb="FF000000"/>
        <rFont val="Arial"/>
        <family val="2"/>
      </rPr>
      <t xml:space="preserve"> ≥ 45 dB</t>
    </r>
  </si>
  <si>
    <r>
      <t>CV</t>
    </r>
    <r>
      <rPr>
        <vertAlign val="superscript"/>
        <sz val="10"/>
        <color rgb="FF000000"/>
        <rFont val="Arial"/>
        <family val="2"/>
      </rPr>
      <t>tc</t>
    </r>
    <r>
      <rPr>
        <sz val="10"/>
        <color rgb="FF000000"/>
        <rFont val="Arial"/>
        <family val="2"/>
      </rPr>
      <t>≤ 66 dB</t>
    </r>
  </si>
  <si>
    <r>
      <t>CV</t>
    </r>
    <r>
      <rPr>
        <vertAlign val="superscript"/>
        <sz val="10"/>
        <color rgb="FF000000"/>
        <rFont val="Arial"/>
        <family val="2"/>
      </rPr>
      <t>tc</t>
    </r>
    <r>
      <rPr>
        <sz val="10"/>
        <color rgb="FF000000"/>
        <rFont val="Arial"/>
        <family val="2"/>
      </rPr>
      <t xml:space="preserve"> ≤ 62 dB</t>
    </r>
  </si>
  <si>
    <r>
      <t>CV</t>
    </r>
    <r>
      <rPr>
        <vertAlign val="superscript"/>
        <sz val="10"/>
        <color rgb="FF000000"/>
        <rFont val="Arial"/>
        <family val="2"/>
      </rPr>
      <t>tc</t>
    </r>
    <r>
      <rPr>
        <sz val="10"/>
        <color rgb="FF000000"/>
        <rFont val="Arial"/>
        <family val="2"/>
      </rPr>
      <t xml:space="preserve"> ≤ 58 dB</t>
    </r>
  </si>
  <si>
    <t>Roof</t>
  </si>
  <si>
    <r>
      <rPr>
        <b/>
        <sz val="10"/>
        <rFont val="Arial"/>
        <family val="2"/>
      </rPr>
      <t>• Sidelit daylit area</t>
    </r>
    <r>
      <rPr>
        <sz val="10"/>
        <rFont val="Arial"/>
        <family val="2"/>
      </rPr>
      <t xml:space="preserve"> is the area on a plan directly adjacent to each vertical glazing, two window head height deep into the area, and window width plus 0.5 times window head height wide on each side of the rough opening of the window, minus any area on a plan beyond a permanent obstruction that is 6 feet or taller as measured from the floor. Figure H.1 shows how to measure sidelit daylit area.</t>
    </r>
  </si>
  <si>
    <r>
      <rPr>
        <b/>
        <sz val="10"/>
        <rFont val="Arial"/>
        <family val="2"/>
      </rPr>
      <t>• Skylit daylit area</t>
    </r>
    <r>
      <rPr>
        <sz val="10"/>
        <rFont val="Arial"/>
        <family val="2"/>
      </rPr>
      <t xml:space="preserve"> is the rough area in plan view under each skylight, plus 0.7 times the average ceiling height in each direction from the edge of the rough opening of the skylight, minus any area on a plan beyond a permanent obstruction that is taller than one - half the distance from the floor to the bottom of the skylight. </t>
    </r>
  </si>
  <si>
    <t>Glazing Type</t>
  </si>
  <si>
    <t>Glazing Transmission</t>
  </si>
  <si>
    <t>Single-Glazed</t>
  </si>
  <si>
    <t>Clear</t>
  </si>
  <si>
    <t>Tinted</t>
  </si>
  <si>
    <t>Reflective</t>
  </si>
  <si>
    <t>Double-Glazed</t>
  </si>
  <si>
    <t>High-solar-gain low-E</t>
  </si>
  <si>
    <t>Low-solar-gain low-E</t>
  </si>
  <si>
    <t>Visible light transmission</t>
  </si>
  <si>
    <t>Source: Efficient Windows Collaborative</t>
  </si>
  <si>
    <t>Click on the links on the 
right to navigate to other 
Health &amp; Comfort credits</t>
  </si>
  <si>
    <r>
      <rPr>
        <b/>
        <sz val="10"/>
        <rFont val="Arial"/>
        <family val="2"/>
      </rPr>
      <t>H-BPC-3 Acoustic Comfort</t>
    </r>
    <r>
      <rPr>
        <sz val="10"/>
        <rFont val="Arial"/>
        <family val="2"/>
      </rPr>
      <t xml:space="preserve">
Average reverberation time (T60) in the habitable spaces of the project should be lower than 0.6 seconds </t>
    </r>
  </si>
  <si>
    <t>Distance from site 
(m)</t>
  </si>
  <si>
    <t>Basic services</t>
  </si>
  <si>
    <t>Roof calculations:</t>
  </si>
  <si>
    <t>Hardscape calculations:</t>
  </si>
  <si>
    <t>• Rapidly renewable materials, which are natural building materials planted and harvested within a 10 year cycle, such as: bamboo, cork, coconut, etc.</t>
  </si>
  <si>
    <t>• Sustainable timber which is timber coming from sustainable sources.</t>
  </si>
  <si>
    <t>• exposed concrete (area of concrete floor surface that is uncovered, this may be polished or sealed as needed)</t>
  </si>
  <si>
    <t>• materials with at least 10% pre-consumer or 5% post-consumer recycled content</t>
  </si>
  <si>
    <t>• exposed concrete</t>
  </si>
  <si>
    <t>• materials that are locally extracted, harvested and manufactured</t>
  </si>
  <si>
    <t>M-6 Furniture</t>
  </si>
  <si>
    <t>Furniture</t>
  </si>
  <si>
    <t>• Furniture made from reused materials (reused components should exceed 50% of the furniture by mass)</t>
  </si>
  <si>
    <t>• Reused Furniture (can be either reused from previous house or purchased from a second-hand retailer)</t>
  </si>
  <si>
    <t>Sustainable furniture [%]</t>
  </si>
  <si>
    <t>The following types of furniture are considered as sustainable:</t>
  </si>
  <si>
    <t xml:space="preserve">• reused materials (tiles, floorboards, carpets, etc. can be reused) </t>
  </si>
  <si>
    <t>The following flooring materials are considered as sustainable:</t>
  </si>
  <si>
    <t xml:space="preserve">For 1 point, 40% of the flooring materials are sustainable 
For 2 points, 80% of the flooring materials are sustainable </t>
  </si>
  <si>
    <t>• Rapidly renewable materials, which are natural building materials planted and harvested within a 10 year cycle, such as: rice straw, bamboo, cork, coconut, etc.</t>
  </si>
  <si>
    <t>• Toilet partitions; shower partitions including shower screens</t>
  </si>
  <si>
    <t>This credit takes into account all the following materials:</t>
  </si>
  <si>
    <t>The following materials are considered as sustainable:</t>
  </si>
  <si>
    <t xml:space="preserve">Are excluded from the credit: </t>
  </si>
  <si>
    <t xml:space="preserve">• wall coverings such as paint, paper, vinyl and textile </t>
  </si>
  <si>
    <t>• Internal stairs</t>
  </si>
  <si>
    <t>• insulation</t>
  </si>
  <si>
    <t>Non-structural walls</t>
  </si>
  <si>
    <t>• Walls and partitions (non-load bearing space dividers)</t>
  </si>
  <si>
    <t>This credit takes into account all the structure materials:</t>
  </si>
  <si>
    <t>• Foundations</t>
  </si>
  <si>
    <t>• Columns</t>
  </si>
  <si>
    <t>• Beams</t>
  </si>
  <si>
    <t>• Structural roof components</t>
  </si>
  <si>
    <t>• Floors and subfloors</t>
  </si>
  <si>
    <t>• Load-bearing walls</t>
  </si>
  <si>
    <t>• Non-baked Materials (only applicable for walls) such as concrete blocks, gypsum panels, aerated autoclaved concrete, etc.</t>
  </si>
  <si>
    <t>Orientation</t>
  </si>
  <si>
    <t>SHGC of glazing</t>
  </si>
  <si>
    <t>Maximum SHGC value</t>
  </si>
  <si>
    <t xml:space="preserve">WWR </t>
  </si>
  <si>
    <r>
      <t>SHGC</t>
    </r>
    <r>
      <rPr>
        <vertAlign val="subscript"/>
        <sz val="10"/>
        <color rgb="FFFFFFFF"/>
        <rFont val="Arial"/>
        <family val="2"/>
      </rPr>
      <t xml:space="preserve">max </t>
    </r>
    <r>
      <rPr>
        <sz val="10"/>
        <color rgb="FFFFFFFF"/>
        <rFont val="Arial"/>
        <family val="2"/>
      </rPr>
      <t>on 8 main orientations</t>
    </r>
  </si>
  <si>
    <t>WWR low</t>
  </si>
  <si>
    <t>WWR high</t>
  </si>
  <si>
    <t>WWR (%)</t>
  </si>
  <si>
    <t>West</t>
  </si>
  <si>
    <t>North</t>
  </si>
  <si>
    <t>North-East</t>
  </si>
  <si>
    <t>North-West</t>
  </si>
  <si>
    <t>South-East</t>
  </si>
  <si>
    <t>South-West</t>
  </si>
  <si>
    <t>South</t>
  </si>
  <si>
    <t>SHGC low</t>
  </si>
  <si>
    <t>SHGC high</t>
  </si>
  <si>
    <t>column #</t>
  </si>
  <si>
    <t>row low#</t>
  </si>
  <si>
    <t>row high#</t>
  </si>
  <si>
    <t>A coefficient (shading)</t>
  </si>
  <si>
    <t>Average maximum SHGC value</t>
  </si>
  <si>
    <t>Improvement compared to VBEEC (%)</t>
  </si>
  <si>
    <t xml:space="preserve">WWR (%) </t>
  </si>
  <si>
    <r>
      <t xml:space="preserve">East façade </t>
    </r>
    <r>
      <rPr>
        <sz val="10"/>
        <color theme="0"/>
        <rFont val="Arial"/>
        <family val="2"/>
      </rPr>
      <t xml:space="preserve"> </t>
    </r>
  </si>
  <si>
    <t>West façade</t>
  </si>
  <si>
    <t>R=b/H</t>
  </si>
  <si>
    <t>N</t>
  </si>
  <si>
    <t>NE or NW</t>
  </si>
  <si>
    <t>SE or SW</t>
  </si>
  <si>
    <t>S</t>
  </si>
  <si>
    <t>→ North and south orientations</t>
  </si>
  <si>
    <t>Glazing</t>
  </si>
  <si>
    <t>→ East and west orientations</t>
  </si>
  <si>
    <t>Reduce the area of glazing or simply avoid glazing on west and east facing facades.</t>
  </si>
  <si>
    <r>
      <rPr>
        <b/>
        <sz val="10"/>
        <rFont val="Arial"/>
        <family val="2"/>
      </rPr>
      <t xml:space="preserve">W-BPC-2 Domestic Water reuse
</t>
    </r>
    <r>
      <rPr>
        <sz val="10"/>
        <rFont val="Arial"/>
        <family val="2"/>
      </rPr>
      <t xml:space="preserve">For 1 point, Use reused water to meet the water demand for irrigation
</t>
    </r>
    <r>
      <rPr>
        <sz val="10"/>
        <rFont val="Arial"/>
        <family val="2"/>
      </rPr>
      <t>For 1 point, Use reused water to meet the water demand for WC flushing</t>
    </r>
  </si>
  <si>
    <t>Implement 2 of the following strategies to reduce water consumption for swimming pools:</t>
  </si>
  <si>
    <t>Use more water efficient filter systems such as cartridge filters which do not need backwashing</t>
  </si>
  <si>
    <t>If sand filter is used, a pressure drop sensor should be installed in order to know when backwash is needed, and the backwash water should be reused to water plants or for any other beneficial use.</t>
  </si>
  <si>
    <t>Other strategy (shall be subject to VGBC approval)</t>
  </si>
  <si>
    <t>Monitor pool filling to be able to detect leaks (when a sharp increase of the amount of water needed to fill the pool is noticed.)</t>
  </si>
  <si>
    <t>Water Efficient Swimming Pool ?</t>
  </si>
  <si>
    <t>To design a rainwater harvesting system, the following elements should be considered:</t>
  </si>
  <si>
    <r>
      <rPr>
        <sz val="10"/>
        <rFont val="Calibri"/>
        <family val="2"/>
      </rPr>
      <t>•</t>
    </r>
    <r>
      <rPr>
        <sz val="10"/>
        <rFont val="Arial"/>
        <family val="2"/>
      </rPr>
      <t xml:space="preserve"> Conveyance</t>
    </r>
  </si>
  <si>
    <r>
      <rPr>
        <sz val="10"/>
        <rFont val="Calibri"/>
        <family val="2"/>
      </rPr>
      <t>•</t>
    </r>
    <r>
      <rPr>
        <sz val="10"/>
        <rFont val="Arial"/>
        <family val="2"/>
      </rPr>
      <t xml:space="preserve"> Catchment area</t>
    </r>
  </si>
  <si>
    <r>
      <rPr>
        <sz val="10"/>
        <rFont val="Calibri"/>
        <family val="2"/>
      </rPr>
      <t>•</t>
    </r>
    <r>
      <rPr>
        <sz val="10"/>
        <rFont val="Arial"/>
        <family val="2"/>
      </rPr>
      <t xml:space="preserve"> Storage</t>
    </r>
  </si>
  <si>
    <r>
      <rPr>
        <sz val="10"/>
        <rFont val="Calibri"/>
        <family val="2"/>
      </rPr>
      <t>•</t>
    </r>
    <r>
      <rPr>
        <sz val="10"/>
        <rFont val="Arial"/>
        <family val="2"/>
      </rPr>
      <t xml:space="preserve"> Distribution</t>
    </r>
  </si>
  <si>
    <r>
      <rPr>
        <sz val="10"/>
        <rFont val="Calibri"/>
        <family val="2"/>
      </rPr>
      <t>•</t>
    </r>
    <r>
      <rPr>
        <sz val="10"/>
        <rFont val="Arial"/>
        <family val="2"/>
      </rPr>
      <t xml:space="preserve"> Treatment</t>
    </r>
  </si>
  <si>
    <t>If another strategy has been implemented, provide a description of the strategy:</t>
  </si>
  <si>
    <t>Illuminance is the total luminous flux incident on a surface, per unit area. It is a measure of how much the incident light illuminates the surface.</t>
  </si>
  <si>
    <t>Ensure sufficient light levels in the habitable spaces by meeting recommendations on illuminance in Table below.</t>
  </si>
  <si>
    <t>Minimum illuminance (lux)</t>
  </si>
  <si>
    <t>Kitchen - ambient</t>
  </si>
  <si>
    <t>Bedroom - ambient</t>
  </si>
  <si>
    <t>Study - desk</t>
  </si>
  <si>
    <t>Bedroom - reading</t>
  </si>
  <si>
    <t>Dining room</t>
  </si>
  <si>
    <t>Living room</t>
  </si>
  <si>
    <t>Kitchen - taks</t>
  </si>
  <si>
    <t>Calculation is now based on number of items. Should it be based on area or weight? Should projects be given the choice between number of items, area or weight?</t>
  </si>
  <si>
    <t>Choice given to projects</t>
  </si>
  <si>
    <t>Area</t>
  </si>
  <si>
    <t>Number of items</t>
  </si>
  <si>
    <t>Weight</t>
  </si>
  <si>
    <t>Use reused water (gray and/or black water) to meet the water demand for irrigation and/or WC flushing.</t>
  </si>
  <si>
    <t>Habitable room</t>
  </si>
  <si>
    <t>Lumens needed</t>
  </si>
  <si>
    <t>Lighting fixtures installed</t>
  </si>
  <si>
    <t>Total lumens from installed lights</t>
  </si>
  <si>
    <r>
      <rPr>
        <b/>
        <sz val="11"/>
        <rFont val="Calibri"/>
        <family val="2"/>
        <scheme val="minor"/>
      </rPr>
      <t>•</t>
    </r>
    <r>
      <rPr>
        <b/>
        <sz val="11"/>
        <color rgb="FF76923C"/>
        <rFont val="Calibri"/>
        <family val="2"/>
        <scheme val="minor"/>
      </rPr>
      <t xml:space="preserve"> Local Environment (LE)</t>
    </r>
    <r>
      <rPr>
        <sz val="11"/>
        <rFont val="Calibri"/>
        <family val="2"/>
        <scheme val="minor"/>
      </rPr>
      <t xml:space="preserve"> - To protect the ecology of the site of the building and surrounding area, to encourage recycling practices, and to integrate adaptation and mitigation strategies.</t>
    </r>
  </si>
  <si>
    <r>
      <rPr>
        <b/>
        <sz val="11"/>
        <rFont val="Calibri"/>
        <family val="2"/>
        <scheme val="minor"/>
      </rPr>
      <t>•</t>
    </r>
    <r>
      <rPr>
        <b/>
        <sz val="11"/>
        <color rgb="FF943634"/>
        <rFont val="Calibri"/>
        <family val="2"/>
        <scheme val="minor"/>
      </rPr>
      <t xml:space="preserve"> Health and Comfort (H) </t>
    </r>
    <r>
      <rPr>
        <sz val="11"/>
        <rFont val="Calibri"/>
        <family val="2"/>
        <scheme val="minor"/>
      </rPr>
      <t xml:space="preserve"> - To ensure high indoor environmental quality, through the optimisation of indoor air quality, daylighting, and thermal comfort.</t>
    </r>
  </si>
  <si>
    <r>
      <t xml:space="preserve">• In addition to the above Categories, an </t>
    </r>
    <r>
      <rPr>
        <b/>
        <sz val="11"/>
        <color rgb="FFFFC000"/>
        <rFont val="Calibri"/>
        <family val="2"/>
        <scheme val="minor"/>
      </rPr>
      <t>Innovation (Inn)</t>
    </r>
    <r>
      <rPr>
        <sz val="11"/>
        <rFont val="Calibri"/>
        <family val="2"/>
        <scheme val="minor"/>
      </rPr>
      <t xml:space="preserve"> category rewards exceptional performance or initiatives which are not specifically addressed by LOTUS. This category awards additional “bonus” points.</t>
    </r>
  </si>
  <si>
    <t xml:space="preserve">Some credits in LOTUS Homes can be achieved with either a Prescriptive path or a Performance path. The Prescriptive path requires specific solutions and is a "black-and-white" approach. The Performance path, provides flexibility so that a design team may design a solution taking into account project requirements. A project may choose a Performance path for one credit and a Prescriptive path for another.  </t>
  </si>
  <si>
    <r>
      <t xml:space="preserve">Some credits can be satisfied through different </t>
    </r>
    <r>
      <rPr>
        <b/>
        <sz val="11"/>
        <color theme="1"/>
        <rFont val="Calibri"/>
        <family val="2"/>
        <scheme val="minor"/>
      </rPr>
      <t>options</t>
    </r>
    <r>
      <rPr>
        <sz val="11"/>
        <color theme="1"/>
        <rFont val="Calibri"/>
        <family val="2"/>
        <scheme val="minor"/>
      </rPr>
      <t xml:space="preserve"> or </t>
    </r>
    <r>
      <rPr>
        <b/>
        <sz val="11"/>
        <color theme="1"/>
        <rFont val="Calibri"/>
        <family val="2"/>
        <scheme val="minor"/>
      </rPr>
      <t>strategies</t>
    </r>
    <r>
      <rPr>
        <sz val="11"/>
        <color theme="1"/>
        <rFont val="Calibri"/>
        <family val="2"/>
        <scheme val="minor"/>
      </rPr>
      <t xml:space="preserve">. A project can select only one </t>
    </r>
    <r>
      <rPr>
        <b/>
        <sz val="11"/>
        <color theme="1"/>
        <rFont val="Calibri"/>
        <family val="2"/>
        <scheme val="minor"/>
      </rPr>
      <t>option</t>
    </r>
    <r>
      <rPr>
        <sz val="11"/>
        <color theme="1"/>
        <rFont val="Calibri"/>
        <family val="2"/>
        <scheme val="minor"/>
      </rPr>
      <t xml:space="preserve"> with its assigned points. A project can implement any or all </t>
    </r>
    <r>
      <rPr>
        <b/>
        <sz val="11"/>
        <color theme="1"/>
        <rFont val="Calibri"/>
        <family val="2"/>
        <scheme val="minor"/>
      </rPr>
      <t>strategies</t>
    </r>
    <r>
      <rPr>
        <sz val="11"/>
        <color theme="1"/>
        <rFont val="Calibri"/>
        <family val="2"/>
        <scheme val="minor"/>
      </rPr>
      <t xml:space="preserve"> and accumulate points for the credit (while being restricted by the maximum number of points).</t>
    </r>
  </si>
  <si>
    <t>Strategy D: Solar radiation on solid surfaces</t>
  </si>
  <si>
    <t xml:space="preserve">→ Limit solar radiation on 95% of the solid roof surface </t>
  </si>
  <si>
    <t xml:space="preserve">→ Limit solar radiation on 95% of the solid walls surface </t>
  </si>
  <si>
    <t xml:space="preserve">solid roof area limiting solar radiation (%) </t>
  </si>
  <si>
    <t xml:space="preserve">solid wall area limiting solar radiation (%) </t>
  </si>
  <si>
    <t>Strategy C: Solar radiation on solid surfaces</t>
  </si>
  <si>
    <r>
      <rPr>
        <b/>
        <sz val="10"/>
        <rFont val="Arial"/>
        <family val="2"/>
      </rPr>
      <t>Strategy C: Solar radiation on solid surfaces</t>
    </r>
    <r>
      <rPr>
        <sz val="10"/>
        <rFont val="Arial"/>
        <family val="2"/>
      </rPr>
      <t xml:space="preserve">
Implement strategies to reduce the solar radiation absorbed by solid surfaces.</t>
    </r>
  </si>
  <si>
    <t>Opening with adjoining room?</t>
  </si>
  <si>
    <t>Mixed-mode ventilated spaces are spaces where both mechanical and natural ventilation processes are used in combination.</t>
  </si>
  <si>
    <t>If yes, which one(s)?</t>
  </si>
  <si>
    <t>Spaces are naturally ventilated spaces when the indoor air is changed with outdoor air without the use of mechanical system</t>
  </si>
  <si>
    <r>
      <rPr>
        <b/>
        <sz val="11"/>
        <rFont val="Calibri"/>
        <family val="2"/>
      </rPr>
      <t>•</t>
    </r>
    <r>
      <rPr>
        <b/>
        <sz val="11"/>
        <color rgb="FF58AB27"/>
        <rFont val="Calibri"/>
        <family val="2"/>
      </rPr>
      <t xml:space="preserve"> </t>
    </r>
    <r>
      <rPr>
        <b/>
        <sz val="11"/>
        <color rgb="FF58AB27"/>
        <rFont val="Calibri"/>
        <family val="2"/>
        <scheme val="minor"/>
      </rPr>
      <t>Energy (E)</t>
    </r>
    <r>
      <rPr>
        <sz val="11"/>
        <color theme="1"/>
        <rFont val="Calibri"/>
        <family val="2"/>
        <scheme val="minor"/>
      </rPr>
      <t xml:space="preserve"> - To monitor and reduce the energy consumption of a building through, for example, passive design, the use of natural ventilation and the installation of energy-efficient equipment (HVAC, lighting, water heater, etc.).</t>
    </r>
  </si>
  <si>
    <t>Admin</t>
  </si>
  <si>
    <t>Submission content</t>
  </si>
  <si>
    <t>Submission delivery</t>
  </si>
  <si>
    <t>Submit the completed user form by email to: certification@vgbc.org.vn</t>
  </si>
  <si>
    <t>Consistent information throughout the credits (for example, same information input on window openings for credits E-3 Home Cooling - Strategy A Natural Ventilation; Credit H-1 Fresh Air Supply; and Credit H-4 Daylighting)</t>
  </si>
  <si>
    <t>Please confirm</t>
  </si>
  <si>
    <t>Pre-assessment stage checklist</t>
  </si>
  <si>
    <t>Submit other documents:</t>
  </si>
  <si>
    <t>Submit the following:</t>
  </si>
  <si>
    <t>Submission presentation</t>
  </si>
  <si>
    <t>Respect the following requirements:</t>
  </si>
  <si>
    <t>All documents are legible (drawings, plans, photographs when showing written information, etc.)</t>
  </si>
  <si>
    <t>Create a zip file containing all the credit folders and other documentation.</t>
  </si>
  <si>
    <t>Compliant Drinking water filtration system ?</t>
  </si>
  <si>
    <t>Details (if other filter type)</t>
  </si>
  <si>
    <t>CM-BPC-2 Comprehensive Construction Management Plan</t>
  </si>
  <si>
    <t>CM-BPC-3 Public Awareness Campaign</t>
  </si>
  <si>
    <r>
      <rPr>
        <b/>
        <sz val="10"/>
        <rFont val="Arial"/>
        <family val="2"/>
      </rPr>
      <t>CM-BPC-2 Comprehensive Construction Management Plan</t>
    </r>
    <r>
      <rPr>
        <sz val="10"/>
        <rFont val="Arial"/>
        <family val="2"/>
      </rPr>
      <t xml:space="preserve">
Prepare and implement a Construction Management Plan covering all the strategies in credit CM-2 Construction Management</t>
    </r>
  </si>
  <si>
    <r>
      <rPr>
        <b/>
        <sz val="10"/>
        <rFont val="Arial"/>
        <family val="2"/>
      </rPr>
      <t>CM-BPC-3 Public Awareness Campaign</t>
    </r>
    <r>
      <rPr>
        <sz val="10"/>
        <rFont val="Arial"/>
        <family val="2"/>
      </rPr>
      <t xml:space="preserve">
Conduct at least two activities to promote general public awareness</t>
    </r>
  </si>
  <si>
    <t>Refrigerator and freezers</t>
  </si>
  <si>
    <t>Dishwasher</t>
  </si>
  <si>
    <t>Fans</t>
  </si>
  <si>
    <t>Televisions</t>
  </si>
  <si>
    <t>Washing machines</t>
  </si>
  <si>
    <t>Computers</t>
  </si>
  <si>
    <t>Displays</t>
  </si>
  <si>
    <t>Rice Cookers</t>
  </si>
  <si>
    <t>For 1 point, install low-water clothes washers</t>
  </si>
  <si>
    <r>
      <rPr>
        <b/>
        <sz val="10"/>
        <rFont val="Arial"/>
        <family val="2"/>
      </rPr>
      <t>Strategy A: Heat transfer through walls</t>
    </r>
    <r>
      <rPr>
        <sz val="10"/>
        <rFont val="Arial"/>
        <family val="2"/>
      </rPr>
      <t xml:space="preserve">
All the external walls are made with any or any combination of the following: 
AAC blocks, a layer of insulation material with a thickness of at least 40mm, lightweight hollow blocks or equivalent.</t>
    </r>
  </si>
  <si>
    <r>
      <rPr>
        <b/>
        <sz val="10"/>
        <rFont val="Arial"/>
        <family val="2"/>
      </rPr>
      <t>Strategy B: Heat transfer through roofs</t>
    </r>
    <r>
      <rPr>
        <sz val="10"/>
        <rFont val="Arial"/>
        <family val="2"/>
      </rPr>
      <t xml:space="preserve">
All the roofs are made with any or any combination of the following: 
An air layer of at least 40mm, a layer of insulation material with a thickness of at least 40mm, a fixed sunshade, a green roof or equivalent.</t>
    </r>
  </si>
  <si>
    <r>
      <rPr>
        <b/>
        <sz val="10"/>
        <rFont val="Arial"/>
        <family val="2"/>
      </rPr>
      <t>Strategy D: Solar radiation on solid surfaces</t>
    </r>
    <r>
      <rPr>
        <sz val="10"/>
        <rFont val="Arial"/>
        <family val="2"/>
      </rPr>
      <t xml:space="preserve">
Limit solar radiation on 95% of the solid surfaces.</t>
    </r>
  </si>
  <si>
    <t>Water Heating</t>
  </si>
  <si>
    <t>Length of the room (m)</t>
  </si>
  <si>
    <t>Width of the room (m)</t>
  </si>
  <si>
    <t>Height of the room (m)</t>
  </si>
  <si>
    <r>
      <t xml:space="preserve">• </t>
    </r>
    <r>
      <rPr>
        <b/>
        <sz val="10"/>
        <rFont val="Arial"/>
        <family val="2"/>
      </rPr>
      <t>Continuous Local Ventilation Exhaust</t>
    </r>
    <r>
      <rPr>
        <sz val="10"/>
        <rFont val="Arial"/>
        <family val="2"/>
      </rPr>
      <t xml:space="preserve">
The local exhaust system should operate continuously and automatically, and meet the following minimum airflow rates:
- Kitchen: airflow of at least 5 air changes per hour
- Bathroom: airflow of at least 10 L/s
- Toilets: airflow of at least 10 L/s</t>
    </r>
  </si>
  <si>
    <r>
      <t xml:space="preserve">• </t>
    </r>
    <r>
      <rPr>
        <b/>
        <sz val="10"/>
        <rFont val="Arial"/>
        <family val="2"/>
      </rPr>
      <t>Intermittent Local Ventilation Exhaust</t>
    </r>
    <r>
      <rPr>
        <sz val="10"/>
        <rFont val="Arial"/>
        <family val="2"/>
      </rPr>
      <t xml:space="preserve">
The local exhaust system should be designed to be operated as needed by the occupant and the following minimum air flow rates must be met:
- Kitchen: airflow of at least 50 L/s 
- Bathroom airflow of at least 25 L/s
- Toilets: airflow of at least 25 L/s</t>
    </r>
  </si>
  <si>
    <t>For kitchens, if the exhaust fan flow is less than 5 air changes per hour, a vented range hood is required.</t>
  </si>
  <si>
    <t>Ventilation from operable window</t>
  </si>
  <si>
    <t>Local mechanical exhaust ventilation</t>
  </si>
  <si>
    <t>This credit takes into account all types of furniture including fitted furniture (fitted cupboard, fitted wardrobe, etc.) and loose furniture (chairs, tables, desks, cabinets, etc.)</t>
  </si>
  <si>
    <t>Provide different waste bins to separate recyclables, organic wastes and garbage.</t>
  </si>
  <si>
    <t xml:space="preserve">For 1 point, 40% of the non-structural walls are sustainable 
For 2 points, 60% of the non-structural walls are sustainable 
For 3 points, 80% of the non-structural walls are sustainable </t>
  </si>
  <si>
    <t>General Instructions on the User Tool</t>
  </si>
  <si>
    <t>2. How to use this Tool?</t>
  </si>
  <si>
    <t>100 points are available in LOTUS Homes (including 20 bonus points coming from the best practice credits and Innovation).</t>
  </si>
  <si>
    <t>The first certification level (LOTUS Certified) has been benchmarked at 40% of the total amount of points excluding bonus points. This value reflects a good first level of performance and the minimum required for certification. The following thresholds correspond to 55% (LOTUS Silver), 65% (LOTUS Gold) and 75% (LOTUS Platinum).</t>
  </si>
  <si>
    <t>Based on 80 points available, certification levels are as shown in the figure below:</t>
  </si>
  <si>
    <t>LOTUS Homes include some best practice credits rewarding bonus points for achieving best practice in design and construction. Best practice credits often require extra calculations or sophisticated documentation. These credits may be aspirational and not easily achievable for most projects, so, projects that do not achieve these credits will not lose points and the overall certification level will not be affected.</t>
  </si>
  <si>
    <t xml:space="preserve">Non-structural Walls </t>
  </si>
  <si>
    <r>
      <rPr>
        <b/>
        <sz val="10"/>
        <color rgb="FF943634"/>
        <rFont val="Arial"/>
        <family val="2"/>
      </rPr>
      <t>Building footprint</t>
    </r>
    <r>
      <rPr>
        <sz val="10"/>
        <rFont val="Arial"/>
        <family val="2"/>
      </rPr>
      <t xml:space="preserve"> - The area of the building in plan on the ground floor or ground plane that is enclosed by exterior walls and adjoining structures sharing the same foundation as the building such as decks, porches and garages. </t>
    </r>
  </si>
  <si>
    <r>
      <rPr>
        <b/>
        <sz val="10"/>
        <color rgb="FF943634"/>
        <rFont val="Arial"/>
        <family val="2"/>
      </rPr>
      <t xml:space="preserve">Development Footprint </t>
    </r>
    <r>
      <rPr>
        <sz val="10"/>
        <rFont val="Arial"/>
        <family val="2"/>
      </rPr>
      <t>- The area of a site that is directly impacted by development activity including: building structures, hardscaping, access roads, car parking and non-building facilities.</t>
    </r>
  </si>
  <si>
    <t>Number of doorway or opening on the air flow path?</t>
  </si>
  <si>
    <t>Cross ventilation in a room is considered as achieved when:</t>
  </si>
  <si>
    <r>
      <rPr>
        <sz val="10"/>
        <rFont val="Calibri"/>
        <family val="2"/>
      </rPr>
      <t>•</t>
    </r>
    <r>
      <rPr>
        <sz val="10"/>
        <rFont val="Arial"/>
        <family val="2"/>
      </rPr>
      <t xml:space="preserve"> Window openings are located either in opposite or adjacent external walls. If the openings are on adjacent walls, they must be at least 3 meters apart at their closest point.</t>
    </r>
  </si>
  <si>
    <r>
      <rPr>
        <sz val="10"/>
        <rFont val="Calibri"/>
        <family val="2"/>
      </rPr>
      <t>•</t>
    </r>
    <r>
      <rPr>
        <sz val="10"/>
        <rFont val="Arial"/>
        <family val="2"/>
      </rPr>
      <t xml:space="preserve"> Distance between the supply and exhaust openings is not more than 15 meters</t>
    </r>
  </si>
  <si>
    <t xml:space="preserve">The main entrance of the house should be assumed to be closed and all the windows and internal doors should be assumed to be opened. </t>
  </si>
  <si>
    <t>• Installing a wind-driven turbine vent (also known as a rotary ventilator) on the roof above a central shaft (atrium, staircase, etc.). The roof turbine vent should have a curved vane (not a straight vane) and should be mounted on top of a pyramid skylight.</t>
  </si>
  <si>
    <t>• Install a weatherproof vent column on the roof above a central shaft (atrium, staircase, etc.). The vent column should be higher than 50 cm and should have a throat diameter of at least 20 cm</t>
  </si>
  <si>
    <t>One of the 2 strategies below can be implemented to create stack ventilation:</t>
  </si>
  <si>
    <t>If yes:</t>
  </si>
  <si>
    <t>Vent column</t>
  </si>
  <si>
    <t xml:space="preserve">Rooftop turbine vent </t>
  </si>
  <si>
    <t>Compliant stack ventilation ?</t>
  </si>
  <si>
    <r>
      <rPr>
        <sz val="10"/>
        <rFont val="Calibri"/>
        <family val="2"/>
      </rPr>
      <t>•</t>
    </r>
    <r>
      <rPr>
        <sz val="10"/>
        <rFont val="Arial"/>
        <family val="2"/>
      </rPr>
      <t xml:space="preserve"> There is a continuous air flow path between 2 window openings either within the room or from the room to another. One opening can be used for up to two air flow paths.</t>
    </r>
  </si>
  <si>
    <t>Capacity</t>
  </si>
  <si>
    <t>Test procedures</t>
  </si>
  <si>
    <t>-</t>
  </si>
  <si>
    <t>&lt; 4.5 kW</t>
  </si>
  <si>
    <r>
      <t>³</t>
    </r>
    <r>
      <rPr>
        <sz val="10"/>
        <color theme="1"/>
        <rFont val="Arial"/>
        <family val="2"/>
      </rPr>
      <t xml:space="preserve"> 4.5 kW and &lt; 7.0 kW</t>
    </r>
  </si>
  <si>
    <r>
      <t>³</t>
    </r>
    <r>
      <rPr>
        <sz val="10"/>
        <color theme="1"/>
        <rFont val="Arial"/>
        <family val="2"/>
      </rPr>
      <t xml:space="preserve"> 7.0 kW and &lt; 14.0 kW</t>
    </r>
  </si>
  <si>
    <r>
      <t>³</t>
    </r>
    <r>
      <rPr>
        <sz val="10"/>
        <color theme="1"/>
        <rFont val="Arial"/>
        <family val="2"/>
      </rPr>
      <t xml:space="preserve"> 14.0 kW and &lt; 19 kW</t>
    </r>
  </si>
  <si>
    <t>ARI 340/360</t>
  </si>
  <si>
    <t>ARI 210/240</t>
  </si>
  <si>
    <r>
      <t>³</t>
    </r>
    <r>
      <rPr>
        <sz val="10"/>
        <color theme="1"/>
        <rFont val="Arial"/>
        <family val="2"/>
      </rPr>
      <t xml:space="preserve"> 70 kW</t>
    </r>
  </si>
  <si>
    <t>TCVN 7830:2012
and
TCVN 6307:1997</t>
  </si>
  <si>
    <t>Air conditioners, air cooled</t>
  </si>
  <si>
    <t>Air conditioners, water
and evaporatively cooled</t>
  </si>
  <si>
    <t>TCVN 6307:1997 or ARI 210/240</t>
  </si>
  <si>
    <r>
      <t>³</t>
    </r>
    <r>
      <rPr>
        <sz val="10"/>
        <color theme="1"/>
        <rFont val="Arial"/>
        <family val="2"/>
      </rPr>
      <t xml:space="preserve"> 4.5 kW and &lt; 7 kW</t>
    </r>
  </si>
  <si>
    <t>Increase the permeability of outside areas to control storm water runoff quantity and quality.</t>
  </si>
  <si>
    <t>Reduce the urban heat island effect</t>
  </si>
  <si>
    <t>• Paving materials with SRI higher than 29</t>
  </si>
  <si>
    <t>• Green roofs</t>
  </si>
  <si>
    <t>• Solar panels</t>
  </si>
  <si>
    <t>• Shading from existing trees canopy or within 10 years of landscape installation (shades must cover paved or roof areas)</t>
  </si>
  <si>
    <t xml:space="preserve">• Shading devices with solar reflectance index (SRI) higher than 29 </t>
  </si>
  <si>
    <t>• Roofing materials with solar reflectance index (SRI) higher than 78 for low sloped roof (less than 2:12 rise over run, i.e.less than 9,5° / 16.6%) and 29 otherwise.</t>
  </si>
  <si>
    <t>Summary:</t>
  </si>
  <si>
    <t>Density of pot plants</t>
  </si>
  <si>
    <t>No R22 refrigerant is used in the building
- AND- 
Refrigerators/freezers use natural refrigerants</t>
  </si>
  <si>
    <t>Lighting comfort provided?</t>
  </si>
  <si>
    <t>Average reverberation time (T60) in the habitable spaces of the project should be lower than 0.6 seconds</t>
  </si>
  <si>
    <t>Calculations of reverberation time are not included in this sheet.</t>
  </si>
  <si>
    <t>Calculations can be made according to ISO 3382 Acoustics – Measurement of the reverberation time for rooms with reference to other acoustical parameters.</t>
  </si>
  <si>
    <t xml:space="preserve">Also, reverberation time can be calculated theoretically using a modelling software that includes an acoustic component or with a calculator (such as http://www.sengpielaudio.com/calculator-RT60.htm)
</t>
  </si>
  <si>
    <t>Average reverberation time (T60)</t>
  </si>
  <si>
    <t>Compliant reverberation time?</t>
  </si>
  <si>
    <t>This best practice option only applies to projects with either:</t>
  </si>
  <si>
    <t xml:space="preserve">• an attached garage, </t>
  </si>
  <si>
    <r>
      <t xml:space="preserve">• a fireplace, or </t>
    </r>
    <r>
      <rPr>
        <sz val="11"/>
        <color rgb="FF000000"/>
        <rFont val="Arial"/>
        <family val="2"/>
      </rPr>
      <t xml:space="preserve"> </t>
    </r>
  </si>
  <si>
    <t>• a gas heater or appliance</t>
  </si>
  <si>
    <t>Compliant basic combustion venting measures?</t>
  </si>
  <si>
    <t>Rainwater harvesting system properly installed ?</t>
  </si>
  <si>
    <t>Install a pool cover</t>
  </si>
  <si>
    <t>Worksheets</t>
  </si>
  <si>
    <t>General Comments</t>
  </si>
  <si>
    <t>- Succulent plants: Cactus, Aloe, Euphorbiaceae family, etc.</t>
  </si>
  <si>
    <t>Compliant selection of plants?</t>
  </si>
  <si>
    <t>Compliant use of efficient irrigation system?</t>
  </si>
  <si>
    <t>IEi = Irrigation efficiency factor specific for sub-area i (e.g. drip irrigation IE = 0.9 and sprinkler IE = 0.625)</t>
  </si>
  <si>
    <r>
      <rPr>
        <b/>
        <sz val="11"/>
        <rFont val="Calibri"/>
        <family val="2"/>
        <scheme val="minor"/>
      </rPr>
      <t xml:space="preserve">• </t>
    </r>
    <r>
      <rPr>
        <b/>
        <sz val="11"/>
        <color rgb="FF5F4970"/>
        <rFont val="Calibri"/>
        <family val="2"/>
        <scheme val="minor"/>
      </rPr>
      <t>Materials (M)</t>
    </r>
    <r>
      <rPr>
        <b/>
        <sz val="11"/>
        <rFont val="Calibri"/>
        <family val="2"/>
        <scheme val="minor"/>
      </rPr>
      <t xml:space="preserve"> </t>
    </r>
    <r>
      <rPr>
        <sz val="11"/>
        <rFont val="Calibri"/>
        <family val="2"/>
        <scheme val="minor"/>
      </rPr>
      <t>- To encourage use of sustainable materials and reduce use of high-embodied-energy materials, for example through the use of re-used and/or recycled materials.</t>
    </r>
  </si>
  <si>
    <t>Energy Monitors</t>
  </si>
  <si>
    <t>Ventilate wet areas with a local exhaust system or openable windows</t>
  </si>
  <si>
    <r>
      <rPr>
        <b/>
        <sz val="10"/>
        <rFont val="Arial"/>
        <family val="2"/>
      </rPr>
      <t>• Openable windows</t>
    </r>
    <r>
      <rPr>
        <sz val="10"/>
        <rFont val="Arial"/>
        <family val="2"/>
      </rPr>
      <t xml:space="preserve">
Toilets and bathrooms should have an operable window area no less than 4% of room floor area nor less than 0.15 m2</t>
    </r>
  </si>
  <si>
    <t>• ISO 717-1 – Rating sound insulation in buildings and of building elements. Part 1: Airborne Sound Insulation</t>
  </si>
  <si>
    <t>• ISO 717-2 – Acoustics – Rating sound insulation in buildings and of building elements. Part 2: Impact Sound Insulation</t>
  </si>
  <si>
    <t>Sustainable structure materials [%]</t>
  </si>
  <si>
    <t xml:space="preserve">Implement innovative techniques/initiatives that are outside the scope of LOTUS </t>
  </si>
  <si>
    <r>
      <rPr>
        <b/>
        <sz val="10"/>
        <color rgb="FF943634"/>
        <rFont val="Arial"/>
        <family val="2"/>
      </rPr>
      <t>Report</t>
    </r>
    <r>
      <rPr>
        <sz val="10"/>
        <rFont val="Arial"/>
        <family val="2"/>
      </rPr>
      <t xml:space="preserve"> - A written document that describes how the project satisfies the requirements of a certain LOTUS credit.</t>
    </r>
  </si>
  <si>
    <r>
      <rPr>
        <b/>
        <sz val="10"/>
        <color rgb="FF943634"/>
        <rFont val="Arial"/>
        <family val="2"/>
      </rPr>
      <t>Schematics</t>
    </r>
    <r>
      <rPr>
        <sz val="10"/>
        <rFont val="Arial"/>
        <family val="2"/>
      </rPr>
      <t xml:space="preserve"> - A diagram that represents the elements of a system using symbols.</t>
    </r>
  </si>
  <si>
    <r>
      <rPr>
        <b/>
        <sz val="10"/>
        <color rgb="FF943634"/>
        <rFont val="Arial"/>
        <family val="2"/>
      </rPr>
      <t>Site Plan</t>
    </r>
    <r>
      <rPr>
        <sz val="10"/>
        <rFont val="Arial"/>
        <family val="2"/>
      </rPr>
      <t xml:space="preserve"> - An accurate drawing or picture of a planned or completed development site, which has a scale of size for reference (to determine relative sizes and distances). Site plans often show, but are not limited to, boundaries, building locations, landscaping, topography, vegetation, drainage, floodplains, zoning, routes/streets, sidewalks and other site features.</t>
    </r>
  </si>
  <si>
    <r>
      <rPr>
        <b/>
        <sz val="10"/>
        <color rgb="FF943634"/>
        <rFont val="Arial"/>
        <family val="2"/>
      </rPr>
      <t>Invoice/Receipt</t>
    </r>
    <r>
      <rPr>
        <b/>
        <sz val="10"/>
        <color rgb="FF58AB27"/>
        <rFont val="Arial"/>
        <family val="2"/>
      </rPr>
      <t xml:space="preserve"> </t>
    </r>
    <r>
      <rPr>
        <sz val="10"/>
        <color theme="1"/>
        <rFont val="Arial"/>
        <family val="2"/>
      </rPr>
      <t>- A proof of purchase given from a supplier to a consumer.</t>
    </r>
  </si>
  <si>
    <r>
      <rPr>
        <b/>
        <sz val="10"/>
        <color rgb="FF943634"/>
        <rFont val="Arial"/>
        <family val="2"/>
      </rPr>
      <t>Elevation</t>
    </r>
    <r>
      <rPr>
        <sz val="10"/>
        <color theme="1"/>
        <rFont val="Arial"/>
        <family val="2"/>
      </rPr>
      <t xml:space="preserve"> - An elevation is a view of a building seen from one side, a 2D drawing of one facade of the building.</t>
    </r>
  </si>
  <si>
    <r>
      <rPr>
        <b/>
        <sz val="10"/>
        <color rgb="FF943634"/>
        <rFont val="Arial"/>
        <family val="2"/>
      </rPr>
      <t>Drawings</t>
    </r>
    <r>
      <rPr>
        <sz val="10"/>
        <color rgb="FF58AB27"/>
        <rFont val="Arial"/>
        <family val="2"/>
      </rPr>
      <t xml:space="preserve"> </t>
    </r>
    <r>
      <rPr>
        <sz val="10"/>
        <color theme="1"/>
        <rFont val="Arial"/>
        <family val="2"/>
      </rPr>
      <t>- Two dimensional technical diagrams of a place or object.</t>
    </r>
  </si>
  <si>
    <t>External wall assembly</t>
  </si>
  <si>
    <t>insulation material with a thickness &gt; 40mm</t>
  </si>
  <si>
    <t>other (with equivalent or higher performance)</t>
  </si>
  <si>
    <t>Material used in the wall assembly</t>
  </si>
  <si>
    <t>air layer of at least 40mm</t>
  </si>
  <si>
    <t>fixed sunshade</t>
  </si>
  <si>
    <t>Material used in the roof assembly</t>
  </si>
  <si>
    <t>Roof assembly</t>
  </si>
  <si>
    <t>For each external wall assembly, enter the type of material used to limit heat transfer through the wall:</t>
  </si>
  <si>
    <t>For each roof assembly, enter the type of material used to limit heat transfer through the roof:</t>
  </si>
  <si>
    <t>other type of glazing</t>
  </si>
  <si>
    <t>Glazing system</t>
  </si>
  <si>
    <t xml:space="preserve">Compliant glazing? </t>
  </si>
  <si>
    <t>solar control glass</t>
  </si>
  <si>
    <t>double-glazed, low-solar-gain low-E glass</t>
  </si>
  <si>
    <t>For each glazing system installed, enter the type of glass used to limit solar radiation:</t>
  </si>
  <si>
    <t>Type of glass used</t>
  </si>
  <si>
    <r>
      <rPr>
        <b/>
        <sz val="11"/>
        <rFont val="Arial"/>
        <family val="2"/>
      </rPr>
      <t>Strategy B: U-values of roofs
All the roofs are made with any or any combination of the following: 
An air layer of at least 40mm, a layer of insulation material with a thickness of at least 40mm, a fixed sunshade, a green roof or equivalent.</t>
    </r>
  </si>
  <si>
    <t>Area of living rooms and bedrooms with cross ventilation [%]</t>
  </si>
  <si>
    <t xml:space="preserve">This credit takes into account all the following types of flooring materials: </t>
  </si>
  <si>
    <t>• flooring underlay (backing material for floor coverings)</t>
  </si>
  <si>
    <t>• floor coverings (fixed, supported or floating) such as: carpet, timber, resilient flooring, hard flooring, etc.</t>
  </si>
  <si>
    <r>
      <rPr>
        <b/>
        <sz val="10"/>
        <rFont val="Arial"/>
        <family val="2"/>
      </rPr>
      <t>Exclusions:</t>
    </r>
    <r>
      <rPr>
        <sz val="10"/>
        <rFont val="Arial"/>
        <family val="2"/>
      </rPr>
      <t xml:space="preserve"> Rugs (similar to carpet but not exceeding the length of 2m), sealants and paint finishes are excluded</t>
    </r>
  </si>
  <si>
    <t>Flooring items</t>
  </si>
  <si>
    <t>The area of a flooring item is the area shown in plan view (two dimensional drawing of an object showing how it would look from above).</t>
  </si>
  <si>
    <t>Example: An internal floor area of 10 m2 fully covered by vinyl flooring with an underlay for vinyl flooring and a carpet of 5 m2: a total of 25 m2 would be entered in the table below.</t>
  </si>
  <si>
    <t>Non-structural wall items</t>
  </si>
  <si>
    <t>The area of a non-structural wall item is equal to the total length of the item multiplied by its total height.</t>
  </si>
  <si>
    <t xml:space="preserve">This credit takes into account all roof coverings, roof sunshade and roof sheathing materials. </t>
  </si>
  <si>
    <r>
      <rPr>
        <b/>
        <sz val="10"/>
        <rFont val="Arial"/>
        <family val="2"/>
      </rPr>
      <t>Exceptions:</t>
    </r>
    <r>
      <rPr>
        <sz val="10"/>
        <rFont val="Arial"/>
        <family val="2"/>
      </rPr>
      <t xml:space="preserve"> Structural roofing, insulation materials and roof underlayment (extra layer of protection on top of the sheathing) should not be considered. </t>
    </r>
  </si>
  <si>
    <t>Air-cooled air-conditioner</t>
  </si>
  <si>
    <t>Water cooled air-conditioner</t>
  </si>
  <si>
    <t>Impact Sound Insulation</t>
  </si>
  <si>
    <t>For 1 point, 40% of windows and doors are made up of sustainable materials
For 2 points, 80% of windows and doors are made up of sustainable materials</t>
  </si>
  <si>
    <t>• Materials with at least 10% pre-consumer or 5% post-consumer recycled content</t>
  </si>
  <si>
    <t>• Materials that are locally extracted, harvested and manufactured</t>
  </si>
  <si>
    <t xml:space="preserve">Area of window frames, doors and door frames is calculated as the total length of the item multiplied by its total height. </t>
  </si>
  <si>
    <t xml:space="preserve">To be qualified as a product made up of sustainable materials, a product must be made up of at least 50% of sustainable materials by weight. 
</t>
  </si>
  <si>
    <t>Windows and doors made up of sustainable materials  [%]</t>
  </si>
  <si>
    <t>Sustainable area (m2)</t>
  </si>
  <si>
    <t>Window and door items</t>
  </si>
  <si>
    <r>
      <rPr>
        <b/>
        <sz val="10"/>
        <color rgb="FF943634"/>
        <rFont val="Arial"/>
        <family val="2"/>
      </rPr>
      <t>Plan</t>
    </r>
    <r>
      <rPr>
        <sz val="10"/>
        <color rgb="FF58AB27"/>
        <rFont val="Arial"/>
        <family val="2"/>
      </rPr>
      <t xml:space="preserve"> </t>
    </r>
    <r>
      <rPr>
        <sz val="10"/>
        <color theme="1"/>
        <rFont val="Arial"/>
        <family val="2"/>
      </rPr>
      <t xml:space="preserve">- A floor plan is the most fundamental architectural diagram, a view from above showing the arrangement of spaces in building in the same way as a map, but showing the arrangement at a particular level of a building. Technically it is a horizontal section cut though a building (conventionally at three feet/one metre above floor level), showing walls, window and door openings and other features at that level. </t>
    </r>
  </si>
  <si>
    <t xml:space="preserve">Do you agree with the criteria on sustainable materials set for the credits in Materials category? </t>
  </si>
  <si>
    <t>Comments:</t>
  </si>
  <si>
    <t>Q1: LOTUS Homes eligibility</t>
  </si>
  <si>
    <t>Water heating</t>
  </si>
  <si>
    <t>This is an optional stage to verify that the project is on right track (realistic targets, no mistakes, safety margin for certification, etc.).</t>
  </si>
  <si>
    <t>• Wall coverings, such as tiles, timber, skirting, etc.</t>
  </si>
  <si>
    <t>• Reused materials</t>
  </si>
  <si>
    <t>Walls, partitions and wall coverings areas must be considered. Then, the total area of non-structural wall items may be higher than the internal wall area.</t>
  </si>
  <si>
    <t>Floor coverings, flooring underlay and exposed concrete surfaces must be considered. Then, the total area of flooring items may be higher than the internal floor area.</t>
  </si>
  <si>
    <t>If yes, should the scope of the rating system be reduced to only take into account the credits applicable for dwelling-units?</t>
  </si>
  <si>
    <t>Pre-assessment checklist</t>
  </si>
  <si>
    <t xml:space="preserve">Full stage checklist </t>
  </si>
  <si>
    <t>All documents (except technical data) are dated</t>
  </si>
  <si>
    <t>Documents are clearly named with a reference to the credit (for example, E-2 - Technical data of SHGC values, LE-3 Strategy A - Site plan)</t>
  </si>
  <si>
    <t>For this credit, it is possible to follow at the same time one strategy with the prescriptive path and the other strategy with the performance path.</t>
  </si>
  <si>
    <t>The Site Analysis can be realised with a Site Analysis Plan showing the following details:</t>
  </si>
  <si>
    <t>•  Sunlight arc (sun path)</t>
  </si>
  <si>
    <t>Strategy A: Plant selection</t>
  </si>
  <si>
    <t>Strategy B: Water Efficient Irrigation System</t>
  </si>
  <si>
    <r>
      <rPr>
        <b/>
        <sz val="10"/>
        <rFont val="Arial"/>
        <family val="2"/>
      </rPr>
      <t>Strategy A: Plant selection</t>
    </r>
    <r>
      <rPr>
        <sz val="10"/>
        <rFont val="Arial"/>
        <family val="2"/>
      </rPr>
      <t xml:space="preserve">
Select plants to minimise water demand for irrigation </t>
    </r>
  </si>
  <si>
    <r>
      <rPr>
        <b/>
        <sz val="10"/>
        <rFont val="Arial"/>
        <family val="2"/>
      </rPr>
      <t>Strategy B: Water Efficient Irrigation System</t>
    </r>
    <r>
      <rPr>
        <sz val="10"/>
        <rFont val="Arial"/>
        <family val="2"/>
      </rPr>
      <t xml:space="preserve">
Install a water efficient irrigation system</t>
    </r>
  </si>
  <si>
    <t xml:space="preserve">Do you agree to have dwelling-units eligible under LOTUS Homes? </t>
  </si>
  <si>
    <t>Meaning that: some credits would not be considered and certification would require less points to be achieved (keeping the same percentages but having a lower total number of points)</t>
  </si>
  <si>
    <t>If not, can you provide some ideas below to improve the credits?</t>
  </si>
  <si>
    <t xml:space="preserve">For 1 point, 40% of the structure materials are sustainable 
For 2 points, 60% of the structure materials are sustainable 
For 3 points, 80% of the structure materials are sustainable </t>
  </si>
  <si>
    <t>Irrigation requirements</t>
  </si>
  <si>
    <t>VGBC123</t>
  </si>
  <si>
    <t>Recommendations for LOTUS Homes Certification</t>
  </si>
  <si>
    <t>2. Selection of targeted credits</t>
  </si>
  <si>
    <t>• Feasibility: Not all credits are applicable for all projects</t>
  </si>
  <si>
    <t>• Compatibility with owner requirements (comfort, budget, etc.)</t>
  </si>
  <si>
    <t>• Simplicity: Some credits can be quite challenging when others are straight forward</t>
  </si>
  <si>
    <t>2. Always keep a safety net by targeting more credits than needed to reach the desired Certification Level.</t>
  </si>
  <si>
    <t>1. Before deciding the credits to target, go through the User Tool and test the credits to understand requirements.</t>
  </si>
  <si>
    <t>3. Ideally, the whole project team should contribute to the selection of targeted credits before the beginning of the design stage.</t>
  </si>
  <si>
    <t>Architecture</t>
  </si>
  <si>
    <t>Selection of equipment</t>
  </si>
  <si>
    <t>Construction practices</t>
  </si>
  <si>
    <t>E-3 Strategy B, E-4, E-5, E-6, E7, W-1, W-2, W-3, H-1, H-2,</t>
  </si>
  <si>
    <t>Note: some credits may be overlapping in different categories</t>
  </si>
  <si>
    <t>E-1, E-2, E-3 Strategy A, M-1, M-2, M-3, M-4, M-5, M-6, H-3, H-4, H-5,    LE-4</t>
  </si>
  <si>
    <t>E-1, W-2, LE-1, LE-2, LE-3, LE-4, LE-5, LE-6</t>
  </si>
  <si>
    <t>LE-8,CM-1,CM-3</t>
  </si>
  <si>
    <t>Site location &amp; design</t>
  </si>
  <si>
    <t>1. Define the project and objectives</t>
  </si>
  <si>
    <t>3. Credit Compliance</t>
  </si>
  <si>
    <t>3. Credit compliance</t>
  </si>
  <si>
    <t>Please note that you may use the example provided to test LOTUS Homes rating system and the User Tool.</t>
  </si>
  <si>
    <t>Please send your feedback by email to certification@vgbc.org.vn. You may complete the form below or simply write down your comments in the email.</t>
  </si>
  <si>
    <t>Step 1: define the project: building type, number of floors, number and type of rooms, GFA, etc.</t>
  </si>
  <si>
    <t>Step 2: identify the objectives of the project:</t>
  </si>
  <si>
    <t>• Does the owner mainly want to decrease operational costs (through energy and water savings)?</t>
  </si>
  <si>
    <t xml:space="preserve">• Does the owner mainly want to improve comfort (improve ventilation, daylight, vegetation, etc.)? </t>
  </si>
  <si>
    <t>• Does the owner main want to limit building environmantal impacts?</t>
  </si>
  <si>
    <t>Projects are not required to follow these recommendations;  they are only given for information purpose.</t>
  </si>
  <si>
    <t>The User should remember that there is a wide range of credits to choose from, except for  projects aiming for Gold and Platinum which must achieve most of the available credits.</t>
  </si>
  <si>
    <t>It helps to base the Selection of credits on the following criteria:</t>
  </si>
  <si>
    <t>To comply with a credit, projects must:</t>
  </si>
  <si>
    <t>• achieve the required performance</t>
  </si>
  <si>
    <t>• provide documentation demonstrating that the requirements are achieved</t>
  </si>
  <si>
    <t>First step should be to decide the responsibilities of the different members of the project team.</t>
  </si>
  <si>
    <t>Different credits target different aspects of the project and the persons responsible for these different aspects are usually the best choice to provide key information and documentation.</t>
  </si>
  <si>
    <t>1. Always make sure that requirements will be achieved by completing the information in the User Tool as early as possible.</t>
  </si>
  <si>
    <t>2.Notify relevant parties as early as possible about specific documentation requirements.</t>
  </si>
  <si>
    <t xml:space="preserve">The User Tool is a template which allows the applicant to: </t>
  </si>
  <si>
    <t>• select the targeted credits</t>
  </si>
  <si>
    <t>• perform the calculations required in the credits</t>
  </si>
  <si>
    <r>
      <rPr>
        <sz val="11"/>
        <rFont val="Symbol"/>
        <family val="1"/>
        <charset val="2"/>
      </rPr>
      <t>®</t>
    </r>
    <r>
      <rPr>
        <sz val="11"/>
        <rFont val="Calibri"/>
        <family val="2"/>
        <scheme val="minor"/>
      </rPr>
      <t xml:space="preserve"> Read the Introduction and Instructions sheets before proceeding with credit selection.</t>
    </r>
  </si>
  <si>
    <r>
      <rPr>
        <sz val="11"/>
        <rFont val="Symbol"/>
        <family val="1"/>
        <charset val="2"/>
      </rPr>
      <t>®</t>
    </r>
    <r>
      <rPr>
        <sz val="11"/>
        <rFont val="Calibri"/>
        <family val="2"/>
      </rPr>
      <t xml:space="preserve"> </t>
    </r>
    <r>
      <rPr>
        <sz val="11"/>
        <rFont val="Calibri"/>
        <family val="2"/>
        <scheme val="minor"/>
      </rPr>
      <t xml:space="preserve">Users should refer to the LOTUS Homes Technical Manual to find more details, information, definitions, etc. </t>
    </r>
  </si>
  <si>
    <t>VGBC will reply in approximately 2 weeks with an assessment report including corrections, advices and recommendations.</t>
  </si>
  <si>
    <t>LOTUS Homes targets single family dwellings. These are formally described as individual residential houses under QCVN 03:2012/BXD &amp; Circular 12/2012/TT-BXD, dated on 28.12.2012. 
The following types of development are covered by this description:</t>
  </si>
  <si>
    <t>LOTUS is a points-based system. Projects obtain points for complying with LOTUS credit criteria. 
Projects are not required to comply with every credit. Only target appropriate credits that projects can reasonably achieve. However, each project must target a minimum number of credits in order to achieve sufficient points to match the desired certification level (cf section 'LOTUS Homes Certification' below)
For a project to comply with a credit, it must meet the intent of the credit, achieve the specific requirements of the credit and provide  the required submission documents.</t>
  </si>
  <si>
    <t>any further details:</t>
  </si>
  <si>
    <t>Q2: Materials category</t>
  </si>
  <si>
    <t>Q3: M-6 Furniture</t>
  </si>
  <si>
    <t>Complete Project Information sheet</t>
  </si>
  <si>
    <t>Minimum 5 completed credit sheets</t>
  </si>
  <si>
    <t>All relevant communication with the VGBC (technical queries, credit interpretations, etc.)</t>
  </si>
  <si>
    <t xml:space="preserve">Completed Project information sheet </t>
  </si>
  <si>
    <t xml:space="preserve">Completed credit sheets for all  targeted credits </t>
  </si>
  <si>
    <t>Submit the User Tool completed with:</t>
  </si>
  <si>
    <t>Submit the complete User Tool together with:</t>
  </si>
  <si>
    <t>Credit folders with all required documentation for all targeted credits</t>
  </si>
  <si>
    <t>Inside of documents, highlight relevant information for credits where suitable</t>
  </si>
  <si>
    <t>All drawings, plans, elevations or other documentation drawn by hand must be signed</t>
  </si>
  <si>
    <t>• Evidence showing each measure implemented such as photographs, etc.</t>
  </si>
  <si>
    <t>• Minutes of meeting of the Eco-Charrette</t>
  </si>
  <si>
    <t>• Photographs of the event showing the participants at the Eco-Charrette</t>
  </si>
  <si>
    <t xml:space="preserve">Navigation </t>
  </si>
  <si>
    <t>1. Scope</t>
  </si>
  <si>
    <t>Introduction on LOTUS Homes</t>
  </si>
  <si>
    <t>2. Categories</t>
  </si>
  <si>
    <t>3. Credits</t>
  </si>
  <si>
    <t>4. Certification Levels</t>
  </si>
  <si>
    <t>5. Certification Process</t>
  </si>
  <si>
    <t>6. Submissions</t>
  </si>
  <si>
    <t>A permanent home energy monitor should be installed and should:</t>
  </si>
  <si>
    <t>Reply to the following questions:</t>
  </si>
  <si>
    <t>• Have an in-house visual display located conveniently for owners - OR - have the ability to communicate the information to a personal computer</t>
  </si>
  <si>
    <t xml:space="preserve">• Provide real-time feedback on energy consumption </t>
  </si>
  <si>
    <t>• Provide a function to analyse data at regular intervals (daily, weekly, monthly or yearly)</t>
  </si>
  <si>
    <t>Certification stage checklist</t>
  </si>
  <si>
    <t>Certification stage</t>
  </si>
  <si>
    <t>Average luminous efficacy is higher than:</t>
  </si>
  <si>
    <t>• Technical data of the lighting fixtures showing wattage and lumen output</t>
  </si>
  <si>
    <t>• Evidence showing that the energy monitor can analyse data at regular intervals and can provide the data to a visual display or to a PC such as photographs, technical data, etc.</t>
  </si>
  <si>
    <t>• Evidence showing that the aforementioned appliances were installed such as photographs, invoices, etc.</t>
  </si>
  <si>
    <t>• Evidence showing that the aforementioned appliances are certified under a recognised energy efficiency label such as photographs, technical data, etc.</t>
  </si>
  <si>
    <t>• Floor plans showing the location of the lighting fixtures</t>
  </si>
  <si>
    <t>• Evidence of the lighting fixtures installed such as photographs, invoices, receipts, etc.</t>
  </si>
  <si>
    <t xml:space="preserve">Specify lighting fixtures with high luminous efficacy (such as fluorescent T5, LED, etc.). </t>
  </si>
  <si>
    <t xml:space="preserve">The luminous efficacy of a source is a measure of the efficiency with which the source provides visible light from electricity. It is the ratio of luminous flux (in lumen, lm) to power (in watts, W). Luminous efficacy values are usually included the technical data of the lighting fixtures. </t>
  </si>
  <si>
    <t>• Technical data of the heat pump water heating systems installed showing the COP values</t>
  </si>
  <si>
    <t>W-3 Drinking Water</t>
  </si>
  <si>
    <t>• Manufacturer's data for each water efficient fixtures installed showing the water usage of the fixture (flowrate, flush size and/or water use per load)</t>
  </si>
  <si>
    <t xml:space="preserve">• Landscape plan outlining the proposed landscape design with a list of all plants </t>
  </si>
  <si>
    <t>• If an efficient irrigation system is used: description of all proposed water saving irrigation fixtures and drawings showing location</t>
  </si>
  <si>
    <t>• If using water recycling, reuse or rainwater harvesting: schematic drawings of proposed reticulation network</t>
  </si>
  <si>
    <t>• Product technical data showing the types of filters contained in the water filtration system</t>
  </si>
  <si>
    <t>As a minimum the filtration system should contain filters that can remove:</t>
  </si>
  <si>
    <r>
      <t>Total area of windows and doors in the project (m</t>
    </r>
    <r>
      <rPr>
        <vertAlign val="superscript"/>
        <sz val="11"/>
        <color theme="0"/>
        <rFont val="Arial"/>
        <family val="2"/>
      </rPr>
      <t>2</t>
    </r>
    <r>
      <rPr>
        <sz val="11"/>
        <color theme="0"/>
        <rFont val="Arial"/>
        <family val="2"/>
      </rPr>
      <t>)</t>
    </r>
  </si>
  <si>
    <r>
      <t>Area of windows and doors made up of sustainable materials (m</t>
    </r>
    <r>
      <rPr>
        <vertAlign val="superscript"/>
        <sz val="11"/>
        <color theme="0"/>
        <rFont val="Arial"/>
        <family val="2"/>
      </rPr>
      <t>2</t>
    </r>
    <r>
      <rPr>
        <sz val="11"/>
        <color theme="0"/>
        <rFont val="Arial"/>
        <family val="2"/>
      </rPr>
      <t>)</t>
    </r>
  </si>
  <si>
    <r>
      <rPr>
        <sz val="10"/>
        <rFont val="Calibri"/>
        <family val="2"/>
      </rPr>
      <t>•</t>
    </r>
    <r>
      <rPr>
        <sz val="10"/>
        <rFont val="Arial"/>
        <family val="2"/>
      </rPr>
      <t xml:space="preserve"> kitchens;</t>
    </r>
  </si>
  <si>
    <t>Each of these rooms must meet the requirements on either continuous local ventilation exhaust, intermittent local ventilation exhaust or openable windows:</t>
  </si>
  <si>
    <t>Select the type of ventilation exhaust which is installed between:</t>
  </si>
  <si>
    <t xml:space="preserve">Complete the Table below for each room considered in the credit: </t>
  </si>
  <si>
    <r>
      <rPr>
        <i/>
        <sz val="10"/>
        <rFont val="Calibri"/>
        <family val="2"/>
      </rPr>
      <t>•</t>
    </r>
    <r>
      <rPr>
        <i/>
        <sz val="10"/>
        <rFont val="Arial"/>
        <family val="2"/>
      </rPr>
      <t xml:space="preserve"> ILVE for Intermittent Local Ventilation Exhaust (the local exhaust system should be designed to be operated as needed by the occupant)</t>
    </r>
  </si>
  <si>
    <r>
      <rPr>
        <i/>
        <sz val="10"/>
        <rFont val="Calibri"/>
        <family val="2"/>
        <scheme val="minor"/>
      </rPr>
      <t>•</t>
    </r>
    <r>
      <rPr>
        <i/>
        <sz val="10"/>
        <rFont val="Arial"/>
        <family val="2"/>
      </rPr>
      <t xml:space="preserve"> CLVE for Continuous Local Ventilation Exhaust (the local exhaust system should operate continuously and automatically)</t>
    </r>
  </si>
  <si>
    <t>• Elevations and plans marking all operable wall and roof openings with their size</t>
  </si>
  <si>
    <t>• Photographs of the exhaust fans installed and photographs of the operable windows in bathrooms and toilets</t>
  </si>
  <si>
    <t>• Technical data of the exhaust fans installed showing capacity</t>
  </si>
  <si>
    <t>• Plans and elevations outlining habitable spaces, compliant areas and indicating all glazing and its size</t>
  </si>
  <si>
    <t>• Plans and elevations outlining habitable spaces, daylit areas and indicating all glazing and its size</t>
  </si>
  <si>
    <t>• Calculations of the airborne and impact sound insulation of all the building elements showing compliance with TCXDVN 277-2002</t>
  </si>
  <si>
    <t>• Technical data of the building elements showing airborne and impact sound insulation (if available)</t>
  </si>
  <si>
    <t>• Technical data of the lighting fixtures showing lumen output</t>
  </si>
  <si>
    <t>• Results of the calculations of the reverberation time</t>
  </si>
  <si>
    <t>The following materials are considered as sustainable materials under this credit:</t>
  </si>
  <si>
    <t>Select and install windows and doors made up of sustainable materials</t>
  </si>
  <si>
    <t>Only window frames, doors and door frames shall be considered in this credit.</t>
  </si>
  <si>
    <r>
      <t>Calculation is based on the area of the window frames, doors and door frames (m</t>
    </r>
    <r>
      <rPr>
        <vertAlign val="superscript"/>
        <sz val="10"/>
        <rFont val="Arial"/>
        <family val="2"/>
      </rPr>
      <t>2</t>
    </r>
    <r>
      <rPr>
        <sz val="10"/>
        <rFont val="Arial"/>
        <family val="2"/>
      </rPr>
      <t>)</t>
    </r>
  </si>
  <si>
    <t>3. Enquiries</t>
  </si>
  <si>
    <t>2. How to use this tool?</t>
  </si>
  <si>
    <t>Symbols used in the tool:</t>
  </si>
  <si>
    <t>Requirements</t>
  </si>
  <si>
    <t>Recommendations</t>
  </si>
  <si>
    <t>Definitions</t>
  </si>
  <si>
    <t>Careful</t>
  </si>
  <si>
    <t>SUBMISSION STAGE</t>
  </si>
  <si>
    <t>BUILDING GENERAL INFORMATION</t>
  </si>
  <si>
    <t>MASTER PLAN GENERAL INFORMATION</t>
  </si>
  <si>
    <t>Complete the table below with information on all the building structure materials:</t>
  </si>
  <si>
    <t>Complete the table below with information on all the window frames, doors and door frames installed in the project</t>
  </si>
  <si>
    <t>Select and install sustainable flooring materials</t>
  </si>
  <si>
    <t>Complete the table below with information on all the furniture items installed in the project</t>
  </si>
  <si>
    <t>User Tool</t>
  </si>
  <si>
    <t>6. LOTUS Homes Submissions</t>
  </si>
  <si>
    <r>
      <rPr>
        <sz val="11"/>
        <color theme="1"/>
        <rFont val="Calibri"/>
        <family val="2"/>
      </rPr>
      <t xml:space="preserve">• </t>
    </r>
    <r>
      <rPr>
        <sz val="11"/>
        <color theme="1"/>
        <rFont val="Calibri"/>
        <family val="2"/>
        <scheme val="minor"/>
      </rPr>
      <t>Villas: detached villa, semi-detached villa, deluxe villa and resort villa
• Terraced house: Townhouse, terraced house with garden
• Traditional rural house</t>
    </r>
  </si>
  <si>
    <t>Reply to the questions below:</t>
  </si>
  <si>
    <t>- AND / OR -</t>
  </si>
  <si>
    <t>Complete the following table for all living rooms, bedrooms and kitchens which are not equipped with air-conditioning units.</t>
  </si>
  <si>
    <t>• Plans showing the vent column or the rooftop turbine vent with the dimensions</t>
  </si>
  <si>
    <t>• Photographs showing the vent column or the rooftop turbine vent</t>
  </si>
  <si>
    <t>• Plans showing the fans installed in the living rooms, bedrooms and kitchens without air-conditioning.</t>
  </si>
  <si>
    <t>• Letter of confirmation that no air-conditioning system has been used in the bedrooms -OR- in the whole house.</t>
  </si>
  <si>
    <t>• Elevations marking all wall openings with their size</t>
  </si>
  <si>
    <t>• Plans showing the air flow paths and the distances between openings</t>
  </si>
  <si>
    <t>• Technical data and/or photographs showing that the units feature inverter technology</t>
  </si>
  <si>
    <t>• Technical data and/or photographs showing the cooling capacity and power input of the air-conditioning systems installed</t>
  </si>
  <si>
    <r>
      <rPr>
        <b/>
        <sz val="10"/>
        <rFont val="Arial"/>
        <family val="2"/>
      </rPr>
      <t>Exception:</t>
    </r>
    <r>
      <rPr>
        <sz val="10"/>
        <rFont val="Arial"/>
        <family val="2"/>
      </rPr>
      <t xml:space="preserve"> when a gate door (with an opened area of at least 1 m</t>
    </r>
    <r>
      <rPr>
        <vertAlign val="superscript"/>
        <sz val="10"/>
        <rFont val="Arial"/>
        <family val="2"/>
      </rPr>
      <t>2</t>
    </r>
    <r>
      <rPr>
        <sz val="10"/>
        <rFont val="Arial"/>
        <family val="2"/>
      </rPr>
      <t>) is covering the main entry door of the house, the door can be considered as a window opening</t>
    </r>
  </si>
  <si>
    <t>• Drawings of the glazing system indicating type of glazing -OR- elevation indicating the type of glazing installed</t>
  </si>
  <si>
    <t>• Technical data of the glazing systems installed showing the type of glass used</t>
  </si>
  <si>
    <t>• Plans and elevations indicating the types of solid surfaces</t>
  </si>
  <si>
    <t xml:space="preserve">• For surfaces with high solar reflectivity, technical data or evidence justifying the high solar reflectivity value. </t>
  </si>
  <si>
    <t>• Calculations of the U-values of external walls and roof</t>
  </si>
  <si>
    <t>• Drawings of the external wall and roof assemblies indicating materials used</t>
  </si>
  <si>
    <t>• Technical data of the glazing systems installed indicating SHGC values</t>
  </si>
  <si>
    <t>• Evidence that the aforementioned glazing systems are installed such as photographs, invoices, etc.</t>
  </si>
  <si>
    <t>• Photographs of the facades showing the glazing areas</t>
  </si>
  <si>
    <t>• Elevations showing the glazing areas and their size</t>
  </si>
  <si>
    <t>• Photographs of the facades</t>
  </si>
  <si>
    <t>• Elevations showing the size of the facades.</t>
  </si>
  <si>
    <t>• Plans and elevations showing the shading devices and their size</t>
  </si>
  <si>
    <t>• Photographs of the facades showing the shading devices</t>
  </si>
  <si>
    <t>Complete the Table below including information on all the lighting fixtures installed in the building (even task lights)</t>
  </si>
  <si>
    <r>
      <t>Install less artificial lighting power to exceed requirements on light power density (LPD) set in QCVN 09:2013/BXD (8 W/m</t>
    </r>
    <r>
      <rPr>
        <b/>
        <vertAlign val="superscript"/>
        <sz val="10"/>
        <rFont val="Arial"/>
        <family val="2"/>
      </rPr>
      <t>2</t>
    </r>
    <r>
      <rPr>
        <b/>
        <sz val="10"/>
        <rFont val="Arial"/>
        <family val="2"/>
      </rPr>
      <t xml:space="preserve"> for residential buildings)</t>
    </r>
  </si>
  <si>
    <t>Light power density (LPD) is the ratio of the power required to provide artificial lighting to the gross floor area of lighted spaces</t>
  </si>
  <si>
    <t>Power used by lamps, ballasts, current regulators and control devices should be included.</t>
  </si>
  <si>
    <t xml:space="preserve">• AAC blocks, </t>
  </si>
  <si>
    <t xml:space="preserve">• lightweight hollow blocks </t>
  </si>
  <si>
    <t>• materials, techniques with an equivalent performance (subject to VGBC approval)</t>
  </si>
  <si>
    <t xml:space="preserve">Complete the Table below with information on the living rooms and bedrooms to calculate the percentage of the area with cross ventilation. </t>
  </si>
  <si>
    <t>Exemple of rooms with cross ventilation:</t>
  </si>
  <si>
    <t>Complete the Table below with information on all the air-conditioning systems installed in the building:</t>
  </si>
  <si>
    <t>Reply to the questions below on the drinking water filtration system:</t>
  </si>
  <si>
    <t>• Photographs of the basic services</t>
  </si>
  <si>
    <t>• Map or plan indicating position of the mass transit service within a 400m or 800 m radius of the building site</t>
  </si>
  <si>
    <t>• Photographs showing prior development of the site or showing adjoining existing development</t>
  </si>
  <si>
    <t>• Photographs showing the site prior construction -OR- site’s land use right certificate -OR- Site development history approved by local authority</t>
  </si>
  <si>
    <t xml:space="preserve">Locate building within an existing urban area with pedestrian access to a variety of basic services. </t>
  </si>
  <si>
    <t>Locate building within a close distance to mass transit services</t>
  </si>
  <si>
    <t xml:space="preserve">Locate building on a site adjoining existing development or on a site that was previously developed. </t>
  </si>
  <si>
    <t>Cover roof area with the following items to contribute to the reduction of the urban heat island effect:</t>
  </si>
  <si>
    <t>Cover paved (hardscape) area with the following items to contribute to the reduction of the urban heat island effect:</t>
  </si>
  <si>
    <t>• Technical data of all the air-conditioning systems and refrigerators/freezers installed showing the type of refrigerant used</t>
  </si>
  <si>
    <t>• Evidence that the aforementioned equipment were installed such as photographs, etc.</t>
  </si>
  <si>
    <t>• Evidence showing that different bins for recyclables, organic wastes and garbage are provided such as photographs, etc.</t>
  </si>
  <si>
    <t>Install a compost bin and compost organic wastes such as food scraps and garden waste.</t>
  </si>
  <si>
    <t>• Site plan highlighting the vegetated areas</t>
  </si>
  <si>
    <t>• Photographs of the vegetation</t>
  </si>
  <si>
    <t>• Evidence of the pot plants installed such as photographs.</t>
  </si>
  <si>
    <t>Maximize landscape areas and favour native or adapted vegetation</t>
  </si>
  <si>
    <t xml:space="preserve">Install pot plants inside the house, on balconies and on the rooftop. </t>
  </si>
  <si>
    <r>
      <rPr>
        <u/>
        <sz val="10"/>
        <rFont val="Arial"/>
        <family val="2"/>
      </rPr>
      <t>Exception:</t>
    </r>
    <r>
      <rPr>
        <sz val="10"/>
        <rFont val="Arial"/>
        <family val="2"/>
      </rPr>
      <t xml:space="preserve"> if a green roof is installed, green roof should be included in the calculation.</t>
    </r>
  </si>
  <si>
    <t>• Use permeable hardscaping materials such as: permeable paving blocks, open grid pavements, porous asphalt/concrete, unbound gravel, wood, mulch, etc.</t>
  </si>
  <si>
    <t xml:space="preserve">Perform the calculations below based on paved and roof area: </t>
  </si>
  <si>
    <t>Areas covered with mechanical equipment are deducted from calculations.</t>
  </si>
  <si>
    <t>• Site plan highlighting the different landscape and hardscape areas (and green roof, if any)</t>
  </si>
  <si>
    <t>• Photographs of the different landscape and hardscape areas (and green roof, if any)</t>
  </si>
  <si>
    <t xml:space="preserve">• Site plan highlighting the different roof and paved areas </t>
  </si>
  <si>
    <t>• Photographs of the different roof and paved areas</t>
  </si>
  <si>
    <t>• Local flood risk identification statement including flood map or  a location plan identifying possible sources of water inundation</t>
  </si>
  <si>
    <t xml:space="preserve">• If there is a flood risk: Photographs, site plan or narratives showing and explaining the strategies employed to increase the building’s ability to resist flood damage. </t>
  </si>
  <si>
    <t>• Photographs of the site at the end of construction</t>
  </si>
  <si>
    <t>• Provide a site analysis plan or complete the table above</t>
  </si>
  <si>
    <t>• Photographs showing the existing site layout</t>
  </si>
  <si>
    <t>Do not select any system or equipment using R22 -AND- select refrigerators/freezers using natural refrigerants.</t>
  </si>
  <si>
    <t>Compliant refrigerants selection?</t>
  </si>
  <si>
    <t>• Is there any flood risk for the site?</t>
  </si>
  <si>
    <t>Reply to the question below:</t>
  </si>
  <si>
    <t>Complete the Table below with information on the strategies employed to increase the building’s ability to resist flood damage:</t>
  </si>
  <si>
    <t>Strategies</t>
  </si>
  <si>
    <t>Employed?</t>
  </si>
  <si>
    <t>Compliant flood risk mitigation?</t>
  </si>
  <si>
    <r>
      <t>Total compliant area (m</t>
    </r>
    <r>
      <rPr>
        <vertAlign val="superscript"/>
        <sz val="11"/>
        <color theme="0"/>
        <rFont val="Arial"/>
        <family val="2"/>
      </rPr>
      <t>2</t>
    </r>
    <r>
      <rPr>
        <sz val="11"/>
        <color theme="0"/>
        <rFont val="Arial"/>
        <family val="2"/>
      </rPr>
      <t>)</t>
    </r>
  </si>
  <si>
    <r>
      <t>Total roof and paved area (m</t>
    </r>
    <r>
      <rPr>
        <vertAlign val="superscript"/>
        <sz val="11"/>
        <color theme="0"/>
        <rFont val="Arial"/>
        <family val="2"/>
      </rPr>
      <t>2</t>
    </r>
    <r>
      <rPr>
        <sz val="11"/>
        <color theme="0"/>
        <rFont val="Arial"/>
        <family val="2"/>
      </rPr>
      <t>)</t>
    </r>
  </si>
  <si>
    <t>Complete the information below on the vegetated area:</t>
  </si>
  <si>
    <r>
      <t>Total GFA (m</t>
    </r>
    <r>
      <rPr>
        <vertAlign val="superscript"/>
        <sz val="10"/>
        <color theme="0"/>
        <rFont val="Arial"/>
        <family val="2"/>
      </rPr>
      <t>2</t>
    </r>
    <r>
      <rPr>
        <sz val="10"/>
        <color theme="0"/>
        <rFont val="Arial"/>
        <family val="2"/>
      </rPr>
      <t>)</t>
    </r>
  </si>
  <si>
    <r>
      <t>Total rooftop area (m</t>
    </r>
    <r>
      <rPr>
        <vertAlign val="superscript"/>
        <sz val="10"/>
        <color theme="0"/>
        <rFont val="Arial"/>
        <family val="2"/>
      </rPr>
      <t>2</t>
    </r>
    <r>
      <rPr>
        <sz val="10"/>
        <color theme="0"/>
        <rFont val="Arial"/>
        <family val="2"/>
      </rPr>
      <t>)</t>
    </r>
  </si>
  <si>
    <t>• Is a site analysis plan provided?</t>
  </si>
  <si>
    <t>Reply to the questions in the 2 Tables below:</t>
  </si>
  <si>
    <t>If YES is chosen for any question in Table 1, the site is determined as high eco-value land and the credit is not met.</t>
  </si>
  <si>
    <r>
      <t>If NO is chosen for all questions in Table 1, proceed to Table 2 of this checklist.</t>
    </r>
    <r>
      <rPr>
        <b/>
        <i/>
        <sz val="10"/>
        <rFont val="Arial"/>
        <family val="2"/>
      </rPr>
      <t xml:space="preserve"> </t>
    </r>
  </si>
  <si>
    <t>If YES is answered for at least one of the questions in Table 2, the site can be defined as having low-ecological value</t>
  </si>
  <si>
    <t>Table 2: Type of land to be used for the new buildings, hard surfaces, landscaping or for site access</t>
  </si>
  <si>
    <t>1. Is the land/site identified as habitat of endangered or vulnerable or threatened species (according to IUCN Red List, international research or Vietnam Red List)?</t>
  </si>
  <si>
    <t>2. Is the land/site identified as nursery ground supporting a diverse group of species?</t>
  </si>
  <si>
    <t>3. Are there any natural lakes, streams or rivers on/running through the site?</t>
  </si>
  <si>
    <t xml:space="preserve">4. Is there any marsh, wetland or riparian wetland present on the site?  </t>
  </si>
  <si>
    <t xml:space="preserve">5. Is there any indigenous/protected/functional forest present on the site? </t>
  </si>
  <si>
    <t>6. Does the site consist of virgin/undeveloped land with wild habitat?</t>
  </si>
  <si>
    <t>1. Has the land been included in the government urban development plan?</t>
  </si>
  <si>
    <t>2. Does the development site consist of land which is entirely within the floor plan(s) of existing building(s) or building(s) demolished within the past 5 years?</t>
  </si>
  <si>
    <t>3. Does the development site consist of land which is entirely covered by other development such as sporting hard surfaces, car parking or such constructions which have been demolished within the past 5 years?</t>
  </si>
  <si>
    <t>4. Does the development site consist of land which is contaminated by industrial or other waste to the extent that it would need remediation before building?</t>
  </si>
  <si>
    <t>5. Does the site consist of land which is a mixture of existing building, paved surfaces and/or contaminated land?</t>
  </si>
  <si>
    <t>6. Has 80% of the land within the development site been used for Intensive farming for at least the last 3 years?</t>
  </si>
  <si>
    <t>7. Has the development site consisted entirely of bare ground -OR- consisted of regularly cut lawns and/or sports fields for more than 2 years?</t>
  </si>
  <si>
    <t>Table 1: Critical ecological features of the site</t>
  </si>
  <si>
    <t>Distance should be measured on a radial basis from the basic service location to the closest corner of the building site.</t>
  </si>
  <si>
    <t>Do not select a site with significant ecological value</t>
  </si>
  <si>
    <r>
      <rPr>
        <b/>
        <sz val="10"/>
        <rFont val="Arial"/>
        <family val="2"/>
      </rPr>
      <t>Strategy A: Site with low-ecological value</t>
    </r>
    <r>
      <rPr>
        <sz val="10"/>
        <rFont val="Arial"/>
        <family val="2"/>
      </rPr>
      <t xml:space="preserve">
Do not situate building on a site with high-eco value</t>
    </r>
  </si>
  <si>
    <t>Strategy A: Site with low-ecological value</t>
  </si>
  <si>
    <t>Site with low-ecological value?</t>
  </si>
  <si>
    <t>• Is project adjoining existing development?</t>
  </si>
  <si>
    <t>• Is the project located on a site that was previously developed ?</t>
  </si>
  <si>
    <t>Infill or a redevelopment site?</t>
  </si>
  <si>
    <t>Distance should be measured on a radial basis from the service location to the closest corner of the building site.</t>
  </si>
  <si>
    <r>
      <rPr>
        <b/>
        <sz val="10"/>
        <rFont val="Arial"/>
        <family val="2"/>
      </rPr>
      <t>Strategy C: Mass transit Transport</t>
    </r>
    <r>
      <rPr>
        <sz val="10"/>
        <rFont val="Arial"/>
        <family val="2"/>
      </rPr>
      <t xml:space="preserve">
For 1 point, Locate building within 800m of mass transit services 
For 2 points, Locate building within 400m of mass transit services</t>
    </r>
  </si>
  <si>
    <t>• Has the LOTUS AP contributed to the project from design to completion of construction?</t>
  </si>
  <si>
    <t>• Has a LOTUS AP been involved in the project team?</t>
  </si>
  <si>
    <t>• Have all the strategies in credit CM-2 Construction Management been implemented?</t>
  </si>
  <si>
    <t>Prepare and implement a Construction Management Plan covering all the strategies in credit CM-2 Construction Management</t>
  </si>
  <si>
    <t xml:space="preserve">• Photographs of the Building Operation &amp; Maintenance Manual showing the different documents included </t>
  </si>
  <si>
    <t>Complete the information below on the Eco-Charrette:</t>
  </si>
  <si>
    <t>An Eco-Charrette is an interactive, multi-stakeholder, team-building exercise that explores the key green building and green development aspects of a project before any design decisions are made. Through this process, stakeholders work together to generate and target green building and sustainability goals prior to developing a more detailed approach. This is usually a minimum one-day facilitated meeting but is highly dependent on the size and complexity of the project.</t>
  </si>
  <si>
    <t>An Eco-charrette must be held during the design stage of the project.</t>
  </si>
  <si>
    <t>Complete the Table below with information on the construction and demolition wastes:</t>
  </si>
  <si>
    <t>A construction and demolition waste minimisation strategy must include the following:</t>
  </si>
  <si>
    <t>• Identification and classification of all sources of waste</t>
  </si>
  <si>
    <t>• Strategies to reduce the generation of waste on site</t>
  </si>
  <si>
    <t>• Strategies to reuse waste directly on site</t>
  </si>
  <si>
    <t>• Strategies to reuse, salvage or recycle waste off site</t>
  </si>
  <si>
    <t>• Disposal locations of all waste (recycling facilities, reuse location, landfill, etc.)</t>
  </si>
  <si>
    <t>Complete the information below on the construction noise mitigation strategies:</t>
  </si>
  <si>
    <t>Select and install low-flow water fixtures in the building.</t>
  </si>
  <si>
    <t>To be considered as low-flow water fixtures, water fixtures must comply with the following requirements:</t>
  </si>
  <si>
    <t xml:space="preserve">• WCs: dual flush with flushrate lower than (or equal to) 3 / 4.5 litres per flush </t>
  </si>
  <si>
    <t>• Shower heads: flowrate lower than (or equal to) 0.14 litres per second</t>
  </si>
  <si>
    <t>• Bathroom and kitchen taps: flowrate lower than (or equal to) 0.12 litres per second</t>
  </si>
  <si>
    <t>• Clothes washers: water use lower than (or equal to) 100 litres per load (8kg)</t>
  </si>
  <si>
    <r>
      <rPr>
        <sz val="12"/>
        <color indexed="9"/>
        <rFont val="Arial"/>
        <family val="2"/>
      </rPr>
      <t xml:space="preserve">Kitchen Taps
</t>
    </r>
    <r>
      <rPr>
        <sz val="10"/>
        <color indexed="9"/>
        <rFont val="Arial"/>
        <family val="2"/>
      </rPr>
      <t>Fixture Name</t>
    </r>
  </si>
  <si>
    <r>
      <rPr>
        <sz val="12"/>
        <color indexed="9"/>
        <rFont val="Arial"/>
        <family val="2"/>
      </rPr>
      <t xml:space="preserve">Clothes Washers
</t>
    </r>
    <r>
      <rPr>
        <sz val="10"/>
        <color indexed="9"/>
        <rFont val="Arial"/>
        <family val="2"/>
      </rPr>
      <t>Fixture Name</t>
    </r>
  </si>
  <si>
    <t>• Schematics showing the water distribution system</t>
  </si>
  <si>
    <t>Select below the strategies implemented to reduce water use for swimming pools:</t>
  </si>
  <si>
    <t>Implemented?</t>
  </si>
  <si>
    <t>Fixture</t>
  </si>
  <si>
    <t>Daily Fixture Uses per Resident</t>
  </si>
  <si>
    <t xml:space="preserve">Duration of Use </t>
  </si>
  <si>
    <t>(flow fixtures)</t>
  </si>
  <si>
    <t xml:space="preserve">WC - Single Flush </t>
  </si>
  <si>
    <t>WC - Dual flush</t>
  </si>
  <si>
    <t>1 full-flush / 3 half-flushes</t>
  </si>
  <si>
    <t>Lavatory Faucet</t>
  </si>
  <si>
    <t>60 sec.</t>
  </si>
  <si>
    <t>Shower</t>
  </si>
  <si>
    <t>480 sec.</t>
  </si>
  <si>
    <t>Kitchen Sink</t>
  </si>
  <si>
    <t>60 sec</t>
  </si>
  <si>
    <t>Clothes washer</t>
  </si>
  <si>
    <t>1 use for the whole house</t>
  </si>
  <si>
    <t>Source: Default Fixture Uses, LEED Reference Guide for Green Building and Construction, 2009</t>
  </si>
  <si>
    <r>
      <rPr>
        <i/>
        <sz val="10"/>
        <color rgb="FF0070C0"/>
        <rFont val="Arial"/>
        <family val="2"/>
      </rPr>
      <t>Table W.1</t>
    </r>
    <r>
      <rPr>
        <i/>
        <sz val="10"/>
        <rFont val="Arial"/>
        <family val="2"/>
      </rPr>
      <t>: Baseline daily fixture uses</t>
    </r>
  </si>
  <si>
    <t>Fixtures Water Use</t>
  </si>
  <si>
    <t>WC (single/dual flush)</t>
  </si>
  <si>
    <t>6.0 L per flush (Lpf)</t>
  </si>
  <si>
    <t>Faucet (conventional)</t>
  </si>
  <si>
    <t>0.14 L/s</t>
  </si>
  <si>
    <t>Showerheads</t>
  </si>
  <si>
    <t>0.16 L/s</t>
  </si>
  <si>
    <t>Kitchen faucet</t>
  </si>
  <si>
    <t>120 L / typical load (8kg)</t>
  </si>
  <si>
    <r>
      <rPr>
        <i/>
        <sz val="10"/>
        <color rgb="FF0070C0"/>
        <rFont val="Arial"/>
        <family val="2"/>
      </rPr>
      <t>Table W.2</t>
    </r>
    <r>
      <rPr>
        <i/>
        <sz val="10"/>
        <rFont val="Arial"/>
        <family val="2"/>
      </rPr>
      <t xml:space="preserve">: Baseline fixtures water use </t>
    </r>
  </si>
  <si>
    <t>Source: UPC and IPC Standards</t>
  </si>
  <si>
    <t xml:space="preserve">Select low-flow water fixtures to reduce domestic water consumption through fixtures </t>
  </si>
  <si>
    <t xml:space="preserve">The aim of this calculation is to compare the building’s water consumption through fixtures to a baseline model. </t>
  </si>
  <si>
    <t xml:space="preserve">The baseline annual water use is calculated using values in Tables W.1 and W.2. </t>
  </si>
  <si>
    <t>Complete the Table below with information on the water fixtures installed in the building:</t>
  </si>
  <si>
    <t>• Dual flush low flow WCs installed?</t>
  </si>
  <si>
    <t>• Low flow shower heads installed?</t>
  </si>
  <si>
    <t>• Low flow kitchen and bathroom taps installed?</t>
  </si>
  <si>
    <t>• Low-water clothes washers installed?</t>
  </si>
  <si>
    <t>• Does it provide real-time feedback on energy consumption ?</t>
  </si>
  <si>
    <t>• Does it have an in-house visual display and/or have the ability to communicate the information to a PC ?</t>
  </si>
  <si>
    <t>• Have a permanent home energy monitor be installed ?</t>
  </si>
  <si>
    <t>• Does it provide a function to analyse data at regular intervals (daily, weekly, monthly or yearly) ?</t>
  </si>
  <si>
    <t>Complete the Table below with information on the energy control solutions installed:</t>
  </si>
  <si>
    <t>• Evidence showing that the energy control solutions are installed such as photographs, invoices, etc.</t>
  </si>
  <si>
    <t>• Evidence showing that an energy monitor is installed such as photographs, invoices, etc.</t>
  </si>
  <si>
    <t>Complete the information below on the renewable energy systems installed:</t>
  </si>
  <si>
    <t>• Is a renewable electricity generation system installed on-site?</t>
  </si>
  <si>
    <t>• Which renewable energy sources are used?</t>
  </si>
  <si>
    <t>• What is the power output of the renewable electricity generation system? (kW or kWp for PV)</t>
  </si>
  <si>
    <t xml:space="preserve">Produce energy with a renewable electricity generation system installed on-site. </t>
  </si>
  <si>
    <t>• Evidence showing that the renewable electricity generation systems are installed such as photographs, invoices, etc.</t>
  </si>
  <si>
    <t>Building’s average OTTV surpasses VBEEC requirements by 40%</t>
  </si>
  <si>
    <t xml:space="preserve">Overall Thermal Transfer Value (OTTV) is a factor that determines the thermal transfer permissible into the building through its walls, roof and windows due to solar heat gain and outdoor-indoor temperature difference. </t>
  </si>
  <si>
    <t>Use the OTTV calculation tool provided by VGBC to calculate the building’s average OTTV.</t>
  </si>
  <si>
    <t>• Evidence showing the power output of the renewable electricity generation systems installed such as technical data, photographs, etc.</t>
  </si>
  <si>
    <t>Install a rainwater harvesting system to catch rainwater falling on the roof</t>
  </si>
  <si>
    <t>Reply to the following questions to provide information on the rainwater harvesting system installed</t>
  </si>
  <si>
    <t>Complete the information below on the reuse/recycling water system:</t>
  </si>
  <si>
    <t>Orientate the building in such way to limit the size of the west and east facing facades.</t>
  </si>
  <si>
    <t xml:space="preserve">The west facing facade is defined as the facades oriented within the range of 45 degrees North of West and 45 degrees South of West </t>
  </si>
  <si>
    <t>East facing facade is defined similarly as the facades oriented within the range of 45 degrees North of East and 45 degrees South of East</t>
  </si>
  <si>
    <t>Complete the information below on building facades:</t>
  </si>
  <si>
    <r>
      <t>East facade area (m</t>
    </r>
    <r>
      <rPr>
        <vertAlign val="superscript"/>
        <sz val="10"/>
        <color theme="0"/>
        <rFont val="Arial"/>
        <family val="2"/>
      </rPr>
      <t>2</t>
    </r>
    <r>
      <rPr>
        <sz val="10"/>
        <color theme="0"/>
        <rFont val="Arial"/>
        <family val="2"/>
      </rPr>
      <t xml:space="preserve">) </t>
    </r>
  </si>
  <si>
    <r>
      <t>West facade area (m</t>
    </r>
    <r>
      <rPr>
        <vertAlign val="superscript"/>
        <sz val="10"/>
        <color theme="0"/>
        <rFont val="Arial"/>
        <family val="2"/>
      </rPr>
      <t>2</t>
    </r>
    <r>
      <rPr>
        <sz val="10"/>
        <color theme="0"/>
        <rFont val="Arial"/>
        <family val="2"/>
      </rPr>
      <t xml:space="preserve">) </t>
    </r>
  </si>
  <si>
    <r>
      <t>North facade area (m</t>
    </r>
    <r>
      <rPr>
        <vertAlign val="superscript"/>
        <sz val="10"/>
        <color theme="0"/>
        <rFont val="Arial"/>
        <family val="2"/>
      </rPr>
      <t>2</t>
    </r>
    <r>
      <rPr>
        <sz val="10"/>
        <color theme="0"/>
        <rFont val="Arial"/>
        <family val="2"/>
      </rPr>
      <t xml:space="preserve">) </t>
    </r>
  </si>
  <si>
    <r>
      <t>South facade area (m</t>
    </r>
    <r>
      <rPr>
        <vertAlign val="superscript"/>
        <sz val="10"/>
        <color theme="0"/>
        <rFont val="Arial"/>
        <family val="2"/>
      </rPr>
      <t>2</t>
    </r>
    <r>
      <rPr>
        <sz val="10"/>
        <color theme="0"/>
        <rFont val="Arial"/>
        <family val="2"/>
      </rPr>
      <t xml:space="preserve">) </t>
    </r>
  </si>
  <si>
    <r>
      <t>Total facade area (m</t>
    </r>
    <r>
      <rPr>
        <vertAlign val="superscript"/>
        <sz val="11"/>
        <color theme="0"/>
        <rFont val="Arial"/>
        <family val="2"/>
      </rPr>
      <t>2</t>
    </r>
    <r>
      <rPr>
        <sz val="11"/>
        <color theme="0"/>
        <rFont val="Arial"/>
        <family val="2"/>
      </rPr>
      <t xml:space="preserve">) </t>
    </r>
  </si>
  <si>
    <t>If the building has no west and/or east facing facades, enter 0 in both glazing area and façade area.</t>
  </si>
  <si>
    <t>Complete the Table below with information on glazing:</t>
  </si>
  <si>
    <t>Source: Table 2.4 of QCVN 09:2013 - VBEEC</t>
  </si>
  <si>
    <t xml:space="preserve">Select a properly sized heat pump water heating system with a COP value higher than VBEEC requirements </t>
  </si>
  <si>
    <t>Select and install energy efficient equipment and appliances in the interior project space.</t>
  </si>
  <si>
    <t>LOTUS will consider as energy efficient appliances, all the appliances that are certified (or can demonstrate equivalent performance) under the following labels:</t>
  </si>
  <si>
    <t xml:space="preserve">• Other labels may be accepted under VGBC approval. </t>
  </si>
  <si>
    <t>Complete the table below with information on all the appliances and equipment installed in the project and considered under this credit.</t>
  </si>
  <si>
    <r>
      <t>For 1 point, LPD is lower than 8 W/m</t>
    </r>
    <r>
      <rPr>
        <vertAlign val="superscript"/>
        <sz val="10"/>
        <rFont val="Arial"/>
        <family val="2"/>
      </rPr>
      <t>2</t>
    </r>
    <r>
      <rPr>
        <sz val="10"/>
        <rFont val="Arial"/>
        <family val="2"/>
      </rPr>
      <t xml:space="preserve">
For 2 points, LPD is lower than 7 W/m</t>
    </r>
    <r>
      <rPr>
        <vertAlign val="superscript"/>
        <sz val="10"/>
        <rFont val="Arial"/>
        <family val="2"/>
      </rPr>
      <t>2</t>
    </r>
    <r>
      <rPr>
        <sz val="10"/>
        <rFont val="Arial"/>
        <family val="2"/>
      </rPr>
      <t xml:space="preserve">
For 3 points, LPD is lower than 6 W/m</t>
    </r>
    <r>
      <rPr>
        <vertAlign val="superscript"/>
        <sz val="10"/>
        <rFont val="Arial"/>
        <family val="2"/>
      </rPr>
      <t>2</t>
    </r>
  </si>
  <si>
    <t xml:space="preserve">Select and install external walls made with any or any combination of the following: </t>
  </si>
  <si>
    <t xml:space="preserve">Select and install roof assemblies made with any or any combination of the following: </t>
  </si>
  <si>
    <t xml:space="preserve">• an air layer of at least 40mm, </t>
  </si>
  <si>
    <t>• a fixed sunshade (it must be installed at a minimum clearance of 0.3 m from the roof surface to have ventilation between the roof and the sunshade),</t>
  </si>
  <si>
    <t>• a green roof,</t>
  </si>
  <si>
    <t xml:space="preserve">Select and install glazing systems which are any of the following: </t>
  </si>
  <si>
    <r>
      <t xml:space="preserve">• a layer of insulation material (thermal conductivity </t>
    </r>
    <r>
      <rPr>
        <sz val="10"/>
        <rFont val="Calibri"/>
        <family val="2"/>
      </rPr>
      <t>≤</t>
    </r>
    <r>
      <rPr>
        <sz val="10"/>
        <rFont val="Arial"/>
        <family val="2"/>
      </rPr>
      <t xml:space="preserve"> 0.05 W/m.K) with a thickness of at least 40mm,</t>
    </r>
  </si>
  <si>
    <t>• a layer of insulation material (thermal conductivity ≤  0.05 W/m.K) with a thickness of at least 40mm,</t>
  </si>
  <si>
    <t>• Evidence showing the materials used for the external walls assemblies such as as-built drawings, photographs, etc.</t>
  </si>
  <si>
    <t>• Evidence showing the materials used for the roof assemblies such as as-built drawings, photographs, etc.</t>
  </si>
  <si>
    <t>But compared to solar control glass, double glazed glass have a better thermal performance and help to limit heat transfer through windows.</t>
  </si>
  <si>
    <t xml:space="preserve">• solar control glass, </t>
  </si>
  <si>
    <t xml:space="preserve">• Solar control glass is a glass provided with a solar control coating that allows sunlight to pass through a window or façade while radiating and reflecting away a large degree of the sun’s heat. </t>
  </si>
  <si>
    <t>• 95% of the solid roof surface meet any or any combination of the following:</t>
  </si>
  <si>
    <t>In order to limit solar radiation on solid roof AND walls of the building:</t>
  </si>
  <si>
    <t xml:space="preserve">- Have a Roof solar reflectivity &gt; 0.7 </t>
  </si>
  <si>
    <t xml:space="preserve">- Be a green roof </t>
  </si>
  <si>
    <t xml:space="preserve">- Have external shadings (PV panels and solar collectors can be considered external shadings for opaque roofs). </t>
  </si>
  <si>
    <t>- AND -</t>
  </si>
  <si>
    <t xml:space="preserve">- Have a solar reflectivity &gt; 0.4 </t>
  </si>
  <si>
    <t>- Be green walls</t>
  </si>
  <si>
    <t>- Have external shadings</t>
  </si>
  <si>
    <t>• 95% of the solid walls surface should meet any or any combination of the following:</t>
  </si>
  <si>
    <t>As solar reflectivity values are not always provided by manufacturers, under this strategy, all white-coloured solid surfaces will be considered as having a solar reflectivity higher than 0.7.</t>
  </si>
  <si>
    <t>Complete the Tables below with information on all solid surfaces:</t>
  </si>
  <si>
    <t xml:space="preserve">Solid roof area limiting solar radiation (%) </t>
  </si>
  <si>
    <t xml:space="preserve">Solid wall area limiting solar radiation (%) </t>
  </si>
  <si>
    <t>• As-built drawings and specifications</t>
  </si>
  <si>
    <t>• Instructions for building operation and maintenance (including health and safety
information, general instructions for efficient operation and periodical maintenance)</t>
  </si>
  <si>
    <t>• Schedule of all equipment</t>
  </si>
  <si>
    <t>• Commissioning and testing results (if any)</t>
  </si>
  <si>
    <t>• Guarantees, warranties and certificates</t>
  </si>
  <si>
    <t>Reply to the questions below on the Building Operation &amp; Maintenance Manual:</t>
  </si>
  <si>
    <t>If yes, does it include the following?</t>
  </si>
  <si>
    <t>Implement a Neighbourhood Impact Plan with adequate measures to reduce construction impacts on neighbouring properties</t>
  </si>
  <si>
    <t>• Plan showing the common access points, storage areas and location for construction vehicles to be stationed</t>
  </si>
  <si>
    <t>• Site master plan showing the locations of waste collection, toilet facilities and rest areas.</t>
  </si>
  <si>
    <t>• Ensure storage areas for any construction materials and waste are not blocking common access</t>
  </si>
  <si>
    <t>• Ensure construction vehicles are not blocking access to neighbouring properties</t>
  </si>
  <si>
    <r>
      <t>Area of the room 
(m</t>
    </r>
    <r>
      <rPr>
        <vertAlign val="superscript"/>
        <sz val="10"/>
        <color indexed="9"/>
        <rFont val="Arial"/>
        <family val="2"/>
      </rPr>
      <t>2</t>
    </r>
    <r>
      <rPr>
        <sz val="10"/>
        <color indexed="9"/>
        <rFont val="Arial"/>
        <family val="2"/>
      </rPr>
      <t>)</t>
    </r>
  </si>
  <si>
    <r>
      <t>Area of the operable window (m</t>
    </r>
    <r>
      <rPr>
        <vertAlign val="superscript"/>
        <sz val="10"/>
        <color indexed="9"/>
        <rFont val="Arial"/>
        <family val="2"/>
      </rPr>
      <t>2</t>
    </r>
    <r>
      <rPr>
        <sz val="10"/>
        <color indexed="9"/>
        <rFont val="Arial"/>
        <family val="2"/>
      </rPr>
      <t>)</t>
    </r>
  </si>
  <si>
    <t>Complete the table below with information on all the interior paints and coatings installed by the project:</t>
  </si>
  <si>
    <t>Complete the table below with information on all the interior adhesives and sealants installed by the project:</t>
  </si>
  <si>
    <t xml:space="preserve">• Materials with at least 10% pre-consumer or 5% post-consumer recycled content </t>
  </si>
  <si>
    <t>Calculation is based either on volume or mass.</t>
  </si>
  <si>
    <t xml:space="preserve">Calculation is based on the number of furniture items </t>
  </si>
  <si>
    <t>Furniture items</t>
  </si>
  <si>
    <t>Select and install sustainable furniture items</t>
  </si>
  <si>
    <t xml:space="preserve">For 1 point, 25% of all furniture items are sustainable
For 2 points, 50% of all furniture items are sustainable </t>
  </si>
  <si>
    <t>Number of sustainable furniture items</t>
  </si>
  <si>
    <t>Number of furniture items</t>
  </si>
  <si>
    <t>Select and use sustainable materials for the non-structural walls.</t>
  </si>
  <si>
    <t>Select and use sustainable materials for the building structure.</t>
  </si>
  <si>
    <t>Calculation is based on the area of the non-structural wall items.</t>
  </si>
  <si>
    <t>Complete the table below with information on all the materials used for the non-structural walls:</t>
  </si>
  <si>
    <r>
      <t>Example: With a brick wall of 10 m</t>
    </r>
    <r>
      <rPr>
        <i/>
        <vertAlign val="superscript"/>
        <sz val="10"/>
        <rFont val="Arial"/>
        <family val="2"/>
      </rPr>
      <t>2</t>
    </r>
    <r>
      <rPr>
        <i/>
        <sz val="10"/>
        <rFont val="Arial"/>
        <family val="2"/>
      </rPr>
      <t xml:space="preserve"> covered by ceramic tiles on 5 m</t>
    </r>
    <r>
      <rPr>
        <i/>
        <vertAlign val="superscript"/>
        <sz val="10"/>
        <rFont val="Arial"/>
        <family val="2"/>
      </rPr>
      <t>2</t>
    </r>
    <r>
      <rPr>
        <i/>
        <sz val="10"/>
        <rFont val="Arial"/>
        <family val="2"/>
      </rPr>
      <t>: a total of 15 m</t>
    </r>
    <r>
      <rPr>
        <i/>
        <vertAlign val="superscript"/>
        <sz val="10"/>
        <rFont val="Arial"/>
        <family val="2"/>
      </rPr>
      <t>2</t>
    </r>
    <r>
      <rPr>
        <i/>
        <sz val="10"/>
        <rFont val="Arial"/>
        <family val="2"/>
      </rPr>
      <t xml:space="preserve"> would be entered in the table below.</t>
    </r>
  </si>
  <si>
    <t>Non-baked Material</t>
  </si>
  <si>
    <t>Local material</t>
  </si>
  <si>
    <t>Material with recycled content</t>
  </si>
  <si>
    <t>Reused material</t>
  </si>
  <si>
    <t>Rapidly renewable material</t>
  </si>
  <si>
    <t>Sustainable timber material</t>
  </si>
  <si>
    <t xml:space="preserve">• Reused materials (metal roofing, tiles and slate, wood sheathing, shingles, etc.  can all be reused) </t>
  </si>
  <si>
    <t>Calculation is based on the area of flooring items</t>
  </si>
  <si>
    <r>
      <t>Area of sustainable flooring items (m</t>
    </r>
    <r>
      <rPr>
        <vertAlign val="superscript"/>
        <sz val="11"/>
        <color theme="0"/>
        <rFont val="Arial"/>
        <family val="2"/>
      </rPr>
      <t>2</t>
    </r>
    <r>
      <rPr>
        <sz val="11"/>
        <color theme="0"/>
        <rFont val="Arial"/>
        <family val="2"/>
      </rPr>
      <t>)</t>
    </r>
  </si>
  <si>
    <r>
      <t>Total area of flooring items (m</t>
    </r>
    <r>
      <rPr>
        <vertAlign val="superscript"/>
        <sz val="11"/>
        <color theme="0"/>
        <rFont val="Arial"/>
        <family val="2"/>
      </rPr>
      <t>2</t>
    </r>
    <r>
      <rPr>
        <sz val="11"/>
        <color theme="0"/>
        <rFont val="Arial"/>
        <family val="2"/>
      </rPr>
      <t>)</t>
    </r>
  </si>
  <si>
    <t>Complete the table below with information on all the flooring items installed in the project</t>
  </si>
  <si>
    <t xml:space="preserve">Non-baked material </t>
  </si>
  <si>
    <t>Exposed Concrete</t>
  </si>
  <si>
    <t>• Has a compost bin been installed?</t>
  </si>
  <si>
    <t>• Is the compost produced used for the landscaping of the house or is it made available for other people to use it?</t>
  </si>
  <si>
    <t>• Have the 7 steps described above been followed?</t>
  </si>
  <si>
    <t>• If not, describe the procedure followed:</t>
  </si>
  <si>
    <t>• Is a vent column installed?</t>
  </si>
  <si>
    <t>• Is the vent column higher than 50 cm?</t>
  </si>
  <si>
    <t>• Is the throat diameter of the vent column larger than 20 cm?</t>
  </si>
  <si>
    <t>• Is a a rooftop turbine vent installed?</t>
  </si>
  <si>
    <t>• Is the rooftop turbine vent located above a central shaft?</t>
  </si>
  <si>
    <t>• Is the rooftop turbine vent mounted on top of a pyramid skylight?</t>
  </si>
  <si>
    <t>• Has the rooftop turbine vent a curved vane?</t>
  </si>
  <si>
    <t>• Are there some air-conditioning systems installed in the bedrooms?</t>
  </si>
  <si>
    <t>• Are there some air-conditioning systems installed in other rooms?</t>
  </si>
  <si>
    <t>• have a complete overview of the LOTUS Homes rating system</t>
  </si>
  <si>
    <t>Before introducing the different sheets composing this User Tool, please note these  important considerations:</t>
  </si>
  <si>
    <t>The bottom of the skylight is measured from the bottom of the skylight well for skylights having wells, or the bottom of the skylight if no skylight well exists.</t>
  </si>
  <si>
    <r>
      <rPr>
        <i/>
        <sz val="10"/>
        <color rgb="FF943634"/>
        <rFont val="Arial"/>
        <family val="2"/>
      </rPr>
      <t>Figure H.1</t>
    </r>
    <r>
      <rPr>
        <i/>
        <sz val="10"/>
        <rFont val="Arial"/>
        <family val="2"/>
      </rPr>
      <t>: Measurement of the sidelit daylit area (top view)</t>
    </r>
  </si>
  <si>
    <t>For the purpose of determining the skylit daylit zone, the geometric shape of the skylit daylit zone shall be identical to the plan view geometric shape of the rough opening of the skylight; for example, for a rectangular skylight the skylit daylit zone plan area shall be rectangular, and for a circular skylight the skylit daylit zone plan area shall be circular.</t>
  </si>
  <si>
    <t>Daylit zone area is defined as the sum of the sidelit daylit area and the skylit daylit area:</t>
  </si>
  <si>
    <r>
      <t>Sidelit daylit area (m</t>
    </r>
    <r>
      <rPr>
        <vertAlign val="superscript"/>
        <sz val="10"/>
        <color indexed="9"/>
        <rFont val="Arial"/>
        <family val="2"/>
      </rPr>
      <t>2</t>
    </r>
    <r>
      <rPr>
        <sz val="10"/>
        <color indexed="9"/>
        <rFont val="Arial"/>
        <family val="2"/>
      </rPr>
      <t>)</t>
    </r>
  </si>
  <si>
    <r>
      <t>Skylit daylit area (m</t>
    </r>
    <r>
      <rPr>
        <vertAlign val="superscript"/>
        <sz val="10"/>
        <color indexed="9"/>
        <rFont val="Arial"/>
        <family val="2"/>
      </rPr>
      <t>2</t>
    </r>
    <r>
      <rPr>
        <sz val="10"/>
        <color indexed="9"/>
        <rFont val="Arial"/>
        <family val="2"/>
      </rPr>
      <t>)</t>
    </r>
  </si>
  <si>
    <t>Habitable spaces should have an average daylight factor above 1%</t>
  </si>
  <si>
    <t xml:space="preserve">Daylight factor (DF) is the ratio of the light level inside a room to the light level outdoors.
It is used to assess the internal natural lighting levels as perceived on working planes or surfaces. </t>
  </si>
  <si>
    <t>Natural light promoting designs strategies include:</t>
  </si>
  <si>
    <t>• Light shelves (horizontal surfaces that reflect daylight deep into a building)</t>
  </si>
  <si>
    <t>• Open plan design</t>
  </si>
  <si>
    <t>• Window and skylight arrangement</t>
  </si>
  <si>
    <t>Calculations for this credit can be done using a daylight modelling software or using spreadsheet calculations:</t>
  </si>
  <si>
    <t>Select the calculation method pursued:</t>
  </si>
  <si>
    <t>VLT</t>
  </si>
  <si>
    <t>Click on the links on the
 right to navigate to other 
Health &amp; Comfort credits</t>
  </si>
  <si>
    <t>Average DF [%]</t>
  </si>
  <si>
    <t xml:space="preserve">Average DF [%]
(from modelling) </t>
  </si>
  <si>
    <t>Compliant habitable area (%)</t>
  </si>
  <si>
    <t>Complete the Table below for all the habitable rooms of the house (kitchens, living/dining rooms, bedrooms and study rooms):</t>
  </si>
  <si>
    <t>• Evidence showing the thermal performance of the materials used such as manufacturer’s published data, photographs, etc.</t>
  </si>
  <si>
    <t>• Light occupancy sensors to automatically turn lights on and off based on occupancy in bathrooms, hallways, entryways, etc.</t>
  </si>
  <si>
    <t>• Light dimmers to provide variable indoor lighting in living rooms and dining rooms</t>
  </si>
  <si>
    <t xml:space="preserve">• Daylight sensors to adapt the use of artificial lighting depending on the amount of natural lighting in the daylit zone areas (cf credit H-4 Daylighting) </t>
  </si>
  <si>
    <t>• Automated shadings to optimise the use of daylight and minimise solar heat gains</t>
  </si>
  <si>
    <t>• Plug load controls to automatically turn receptacles off and on as needed</t>
  </si>
  <si>
    <t>Installation locations</t>
  </si>
  <si>
    <t>• Type of water reused</t>
  </si>
  <si>
    <t>• Reused water to cover which water demand?</t>
  </si>
  <si>
    <t>• Estimation of the quantity of water collected (litres)</t>
  </si>
  <si>
    <t>• Estimation of the water demand (litres)</t>
  </si>
  <si>
    <t xml:space="preserve">• Reduce evaporation with the installation of a pool cover. The pool should be covered anytime it is not being used. </t>
  </si>
  <si>
    <t xml:space="preserve">• Use more water efficient filter systems such as cartridge filters which do not need backwashing. If sand filter is used, a pressure drop sensor should be installed in order to know when backwash is needed, and the backwash water should be reused to water plants or for any other beneficial use. </t>
  </si>
  <si>
    <t>• Monitor pool filling to be able to detect leaks (when a sharp increase of the amount of water needed to fill the pool is noticed.)</t>
  </si>
  <si>
    <t>• Other strategies may be applied but shall be subject to VGBC approval</t>
  </si>
  <si>
    <t>Install at least 2 different types of energy control solutions in the house where it can be effective:</t>
  </si>
  <si>
    <t>• Other solutions may be applied but shall be subject to VGBC approval</t>
  </si>
  <si>
    <t>• For which water uses the rainwater harvested will be used?</t>
  </si>
  <si>
    <t>• Which method of after-storage treatment has been used?</t>
  </si>
  <si>
    <t>• Which method of pre-storage treatment has been used?</t>
  </si>
  <si>
    <r>
      <t>• What is the size of the storage tank (m</t>
    </r>
    <r>
      <rPr>
        <vertAlign val="superscript"/>
        <sz val="10"/>
        <rFont val="Arial"/>
        <family val="2"/>
      </rPr>
      <t>3</t>
    </r>
    <r>
      <rPr>
        <sz val="10"/>
        <rFont val="Arial"/>
        <family val="2"/>
      </rPr>
      <t>) ?</t>
    </r>
  </si>
  <si>
    <r>
      <t>• What is the downspout area (m</t>
    </r>
    <r>
      <rPr>
        <vertAlign val="superscript"/>
        <sz val="10"/>
        <rFont val="Arial"/>
        <family val="2"/>
      </rPr>
      <t>2</t>
    </r>
    <r>
      <rPr>
        <sz val="10"/>
        <rFont val="Arial"/>
        <family val="2"/>
      </rPr>
      <t>) ?</t>
    </r>
  </si>
  <si>
    <r>
      <t>• What is the size of the catchment area (m</t>
    </r>
    <r>
      <rPr>
        <vertAlign val="superscript"/>
        <sz val="10"/>
        <rFont val="Arial"/>
        <family val="2"/>
      </rPr>
      <t>2</t>
    </r>
    <r>
      <rPr>
        <sz val="10"/>
        <rFont val="Arial"/>
        <family val="2"/>
      </rPr>
      <t>) ?</t>
    </r>
  </si>
  <si>
    <t>• Photographs showing the different components of the water reuse system (storage tank, treatment methods, distribution pumps, etc.)</t>
  </si>
  <si>
    <t>• Description of the use of non-domestic water</t>
  </si>
  <si>
    <t>• Is non-domestic water used for watering?</t>
  </si>
  <si>
    <r>
      <t>• Estimation of the quantity of non-domestic water used for watering (m</t>
    </r>
    <r>
      <rPr>
        <vertAlign val="superscript"/>
        <sz val="10"/>
        <rFont val="Arial"/>
        <family val="2"/>
      </rPr>
      <t>3</t>
    </r>
    <r>
      <rPr>
        <sz val="10"/>
        <rFont val="Arial"/>
        <family val="2"/>
      </rPr>
      <t>)</t>
    </r>
  </si>
  <si>
    <r>
      <t>The soft landscape water demand benchmark for Vietnam is 1.1 m</t>
    </r>
    <r>
      <rPr>
        <b/>
        <vertAlign val="superscript"/>
        <sz val="10"/>
        <rFont val="Arial"/>
        <family val="2"/>
      </rPr>
      <t>3</t>
    </r>
    <r>
      <rPr>
        <b/>
        <sz val="10"/>
        <rFont val="Arial"/>
        <family val="2"/>
      </rPr>
      <t>/m</t>
    </r>
    <r>
      <rPr>
        <b/>
        <vertAlign val="superscript"/>
        <sz val="10"/>
        <rFont val="Arial"/>
        <family val="2"/>
      </rPr>
      <t>2</t>
    </r>
    <r>
      <rPr>
        <b/>
        <sz val="10"/>
        <rFont val="Arial"/>
        <family val="2"/>
      </rPr>
      <t>/year.</t>
    </r>
  </si>
  <si>
    <t>Reduce the amount of domestic water used for landscaping compared to benchmark consumption.</t>
  </si>
  <si>
    <t>The amount of domestic water used for irrigation can be reduced through a number of different strategies:</t>
  </si>
  <si>
    <r>
      <rPr>
        <sz val="10"/>
        <rFont val="Calibri"/>
        <family val="2"/>
      </rPr>
      <t>•</t>
    </r>
    <r>
      <rPr>
        <sz val="10"/>
        <rFont val="Arial"/>
        <family val="2"/>
      </rPr>
      <t xml:space="preserve"> Water Efficient Irrigation</t>
    </r>
  </si>
  <si>
    <r>
      <rPr>
        <sz val="10"/>
        <rFont val="Calibri"/>
        <family val="2"/>
      </rPr>
      <t>•</t>
    </r>
    <r>
      <rPr>
        <sz val="10"/>
        <rFont val="Arial"/>
        <family val="2"/>
      </rPr>
      <t xml:space="preserve"> Irrigation with Recycled/Reused Water and/or Harvested Rainwater</t>
    </r>
  </si>
  <si>
    <t>• Is any efficient irrigation system used?</t>
  </si>
  <si>
    <t>• Description of the efficient irrigation system</t>
  </si>
  <si>
    <t>• Has the use of grass been minimised?</t>
  </si>
  <si>
    <t>• If yes, using which alternatives?</t>
  </si>
  <si>
    <t>Install a proper drinking water filtration system to get clean drinking water.</t>
  </si>
  <si>
    <t>• Has a drinking water filtration system been installed?</t>
  </si>
  <si>
    <t xml:space="preserve">• Plant climate adapted plants (native or non-native to Vietnam) to reduce irrigation requirements. </t>
  </si>
  <si>
    <t xml:space="preserve">• Plant Climate adapted plants. Some examples of climate adapted (drought resistant) plants are: </t>
  </si>
  <si>
    <t>- Unthirsty groundcover</t>
  </si>
  <si>
    <t>- Hardscapes</t>
  </si>
  <si>
    <t>- Rock gardens</t>
  </si>
  <si>
    <t>Select plants to minimise water demand for irrigation:</t>
  </si>
  <si>
    <t>- Plants of Acacia genus: Acacia auriculiformis and Acacia mangiumare (the two most popular species of the Acacia genus in Vietnam)</t>
  </si>
  <si>
    <t>• Reduce lawn areas planted with grass</t>
  </si>
  <si>
    <t xml:space="preserve">• Reduce lawn areas planted with grass. Consider alternatives such as: </t>
  </si>
  <si>
    <t>Complete the information below on plant selection:</t>
  </si>
  <si>
    <r>
      <t>• What is the area of lawn with grass? (m</t>
    </r>
    <r>
      <rPr>
        <vertAlign val="superscript"/>
        <sz val="10"/>
        <rFont val="Arial"/>
        <family val="2"/>
      </rPr>
      <t>2</t>
    </r>
    <r>
      <rPr>
        <sz val="10"/>
        <rFont val="Arial"/>
        <family val="2"/>
      </rPr>
      <t>)</t>
    </r>
  </si>
  <si>
    <t>Building structure material</t>
  </si>
  <si>
    <r>
      <t>Area of sustainable non-structural wall items (m</t>
    </r>
    <r>
      <rPr>
        <vertAlign val="superscript"/>
        <sz val="11"/>
        <color theme="0"/>
        <rFont val="Arial"/>
        <family val="2"/>
      </rPr>
      <t>2</t>
    </r>
    <r>
      <rPr>
        <sz val="11"/>
        <color theme="0"/>
        <rFont val="Arial"/>
        <family val="2"/>
      </rPr>
      <t>)</t>
    </r>
  </si>
  <si>
    <r>
      <t>Total area of non-structural wall items (m</t>
    </r>
    <r>
      <rPr>
        <vertAlign val="superscript"/>
        <sz val="11"/>
        <color theme="0"/>
        <rFont val="Arial"/>
        <family val="2"/>
      </rPr>
      <t>2</t>
    </r>
    <r>
      <rPr>
        <sz val="11"/>
        <color theme="0"/>
        <rFont val="Arial"/>
        <family val="2"/>
      </rPr>
      <t>)</t>
    </r>
  </si>
  <si>
    <t xml:space="preserve">• Reused windows and doors (can be salvaged from a previous house or purchased from a second-hand retailer) </t>
  </si>
  <si>
    <t>steep slope</t>
  </si>
  <si>
    <t>• Has a local flood risk identification statement for the site been prepared?</t>
  </si>
  <si>
    <t>Prepare a local flood risk identification statement for the site</t>
  </si>
  <si>
    <t>If there is a flood risk, some of the following strategies should be employed to increase the building’s ability to resist flood damage.</t>
  </si>
  <si>
    <r>
      <t>A</t>
    </r>
    <r>
      <rPr>
        <vertAlign val="subscript"/>
        <sz val="10"/>
        <color theme="0"/>
        <rFont val="Arial"/>
        <family val="2"/>
      </rPr>
      <t>site</t>
    </r>
    <r>
      <rPr>
        <sz val="10"/>
        <color theme="0"/>
        <rFont val="Arial"/>
        <family val="2"/>
      </rPr>
      <t xml:space="preserve"> = Total site area minus building footprints not covered by a green roof [m</t>
    </r>
    <r>
      <rPr>
        <vertAlign val="superscript"/>
        <sz val="10"/>
        <color theme="0"/>
        <rFont val="Arial"/>
        <family val="2"/>
      </rPr>
      <t>2</t>
    </r>
    <r>
      <rPr>
        <sz val="10"/>
        <color theme="0"/>
        <rFont val="Arial"/>
        <family val="2"/>
      </rPr>
      <t>]</t>
    </r>
  </si>
  <si>
    <t>After selecting the credits, make sure that the project will comply with all credit requirements.</t>
  </si>
  <si>
    <t>• Have the common access points for the site and neighbouring properties been identified?</t>
  </si>
  <si>
    <t>Complete the information below on the construction worker management:</t>
  </si>
  <si>
    <t>Complete the information below on the stormwater pollution prevention, erosion and sediment control:</t>
  </si>
  <si>
    <t>Reply to the questions and complete the information below:</t>
  </si>
  <si>
    <r>
      <rPr>
        <b/>
        <sz val="10"/>
        <rFont val="Arial"/>
        <family val="2"/>
      </rPr>
      <t>Exception:</t>
    </r>
    <r>
      <rPr>
        <sz val="10"/>
        <rFont val="Arial"/>
        <family val="2"/>
      </rPr>
      <t xml:space="preserve"> In the case that old refrigerators/freezers are re-used from a previous project, the refrigerants don’t have to be natural refrigerants. </t>
    </r>
  </si>
  <si>
    <t>Perform the calculations below taking into account the entire site area and excluding the building footprint area:</t>
  </si>
  <si>
    <t>Outdoor pot plants can also be considered in this strategy. Use the area of the opening at the top of the pot for the calculations.</t>
  </si>
  <si>
    <t>• Photographs showing the strategies implemented</t>
  </si>
  <si>
    <t xml:space="preserve">Noise levels largely affect the health and productivity of occupants. 
TCXDVN 277-2002 - Sound insulation standards of building elements between rooms - sets forth a minimum requirement on sound insulation in residential buildings. </t>
  </si>
  <si>
    <t>Design walls and floors to maximise airborne and impact sound insulation</t>
  </si>
  <si>
    <r>
      <rPr>
        <i/>
        <sz val="10"/>
        <color rgb="FF943634"/>
        <rFont val="Arial"/>
        <family val="2"/>
      </rPr>
      <t>Table H.1:</t>
    </r>
    <r>
      <rPr>
        <i/>
        <sz val="10"/>
        <rFont val="Arial"/>
        <family val="2"/>
      </rPr>
      <t xml:space="preserve"> Minimum requirements for airborne and impact sound insulation of building elements between rooms </t>
    </r>
  </si>
  <si>
    <r>
      <rPr>
        <i/>
        <sz val="10"/>
        <color rgb="FF943634"/>
        <rFont val="Arial"/>
        <family val="2"/>
      </rPr>
      <t xml:space="preserve">Table H.2: </t>
    </r>
    <r>
      <rPr>
        <i/>
        <sz val="10"/>
        <rFont val="Arial"/>
        <family val="2"/>
      </rPr>
      <t>Definition of floors and walls included in the noise classes of TCXDVN 277-2002</t>
    </r>
  </si>
  <si>
    <t>Elements requiring good sound insulation: 
Floors and walls separating bedrooms or studies from a space containing noisy equipment or services</t>
  </si>
  <si>
    <t>Elements requiring medium sound insulation:
Floors and walls of bedrooms and living rooms between units;
Floors and walls separating bedrooms or living rooms with kitchens, toilets and stairs</t>
  </si>
  <si>
    <t>Airborne Sound Insulation (dB)</t>
  </si>
  <si>
    <t>Impact Sound Insulation (dB)</t>
  </si>
  <si>
    <t>Floors / Walls</t>
  </si>
  <si>
    <t>All walls and floors compliant?</t>
  </si>
  <si>
    <t>The calculations of airborne and impact sound insulation values shall be made according to:</t>
  </si>
  <si>
    <t>Complete the Table below for all the floors and walls included in the noise classes of TCXDVN 277-2002:</t>
  </si>
  <si>
    <t>CKtc index is equivalent to the weighted noise reduction index (Rw) and CVtc is equivalent to the weighted normalised impact level (Ln,w). 
TCXDVN 277-2002 introduces classes for defining wall and floor insulation requirements depending on the types of rooms they divide (Tables H.1 &amp; H.2)</t>
  </si>
  <si>
    <t>Complete the Table below for all the habitable rooms:</t>
  </si>
  <si>
    <t>Enter the calculated values of reverberation time in the table below:</t>
  </si>
  <si>
    <t>• Have a CO2 sensors been installed?</t>
  </si>
  <si>
    <t>• Location of the sensors above the finished floor (meters)</t>
  </si>
  <si>
    <r>
      <t>• CO2</t>
    </r>
    <r>
      <rPr>
        <vertAlign val="subscript"/>
        <sz val="10"/>
        <rFont val="Arial"/>
        <family val="2"/>
      </rPr>
      <t>max</t>
    </r>
    <r>
      <rPr>
        <sz val="10"/>
        <rFont val="Arial"/>
        <family val="2"/>
      </rPr>
      <t xml:space="preserve"> concentration set (ppm)</t>
    </r>
  </si>
  <si>
    <t>• Have unvented combustion appliances (e.g., decorative logs) been installed?</t>
  </si>
  <si>
    <t>• Have carbon monoxide (CO) detectors been installed at proximity to sleeping areas?</t>
  </si>
  <si>
    <t>Implement basic combustion venting measures.</t>
  </si>
  <si>
    <t>• Has any fireplace or woodstove been installed?</t>
  </si>
  <si>
    <t>Reply to questions below:</t>
  </si>
  <si>
    <t>• Photographs showing all the installed carbon monoxide (CO) detectors and photographs showing the fireplaces and woodstoves (if any)</t>
  </si>
  <si>
    <r>
      <t>• CO</t>
    </r>
    <r>
      <rPr>
        <vertAlign val="subscript"/>
        <sz val="10"/>
        <rFont val="Arial"/>
        <family val="2"/>
      </rPr>
      <t>2</t>
    </r>
    <r>
      <rPr>
        <sz val="10"/>
        <rFont val="Arial"/>
        <family val="2"/>
      </rPr>
      <t xml:space="preserve"> sensors are installed in which rooms?</t>
    </r>
  </si>
  <si>
    <r>
      <t>Compliant CO</t>
    </r>
    <r>
      <rPr>
        <vertAlign val="subscript"/>
        <sz val="11"/>
        <color theme="0"/>
        <rFont val="Arial"/>
        <family val="2"/>
      </rPr>
      <t>2</t>
    </r>
    <r>
      <rPr>
        <sz val="11"/>
        <color theme="0"/>
        <rFont val="Arial"/>
        <family val="2"/>
      </rPr>
      <t xml:space="preserve"> monitoring?</t>
    </r>
  </si>
  <si>
    <r>
      <t>Option A: CO</t>
    </r>
    <r>
      <rPr>
        <b/>
        <vertAlign val="subscript"/>
        <sz val="12"/>
        <color indexed="9"/>
        <rFont val="Arial"/>
        <family val="2"/>
      </rPr>
      <t>2</t>
    </r>
    <r>
      <rPr>
        <b/>
        <sz val="12"/>
        <color indexed="9"/>
        <rFont val="Arial"/>
        <family val="2"/>
      </rPr>
      <t xml:space="preserve"> monitoring</t>
    </r>
  </si>
  <si>
    <r>
      <rPr>
        <b/>
        <sz val="10"/>
        <rFont val="Arial"/>
        <family val="2"/>
      </rPr>
      <t>H-BPC-1 Indoor Air Pollution Prevention
Option A: CO</t>
    </r>
    <r>
      <rPr>
        <b/>
        <vertAlign val="subscript"/>
        <sz val="10"/>
        <rFont val="Arial"/>
        <family val="2"/>
      </rPr>
      <t>2</t>
    </r>
    <r>
      <rPr>
        <b/>
        <sz val="10"/>
        <rFont val="Arial"/>
        <family val="2"/>
      </rPr>
      <t xml:space="preserve"> monitoring</t>
    </r>
    <r>
      <rPr>
        <sz val="10"/>
        <rFont val="Arial"/>
        <family val="2"/>
      </rPr>
      <t xml:space="preserve">
Specify and install a CO</t>
    </r>
    <r>
      <rPr>
        <vertAlign val="subscript"/>
        <sz val="10"/>
        <rFont val="Arial"/>
        <family val="2"/>
      </rPr>
      <t>2</t>
    </r>
    <r>
      <rPr>
        <sz val="10"/>
        <rFont val="Arial"/>
        <family val="2"/>
      </rPr>
      <t xml:space="preserve"> monitoring system
</t>
    </r>
    <r>
      <rPr>
        <b/>
        <sz val="10"/>
        <rFont val="Arial"/>
        <family val="2"/>
      </rPr>
      <t>Option B: Basic Combustion Venting Measures</t>
    </r>
    <r>
      <rPr>
        <sz val="10"/>
        <rFont val="Arial"/>
        <family val="2"/>
      </rPr>
      <t xml:space="preserve">
Implement basic combustion venting measures </t>
    </r>
  </si>
  <si>
    <t>LOTUS Homes includes 32 credits and 13 best practice (bonus) credits.</t>
  </si>
  <si>
    <t>Select materials with good thermal insulation properties to exceed VBEEC requirements on U-values.</t>
  </si>
  <si>
    <t>U-value is the thermal transmittance expressed in W/m².K. It describes how well a building element conducts heat. The lower the U-value, the less heat will be transferred.</t>
  </si>
  <si>
    <r>
      <t>VBEEC requirements: U-value of external walls should be lower than 1.8 W/m</t>
    </r>
    <r>
      <rPr>
        <vertAlign val="superscript"/>
        <sz val="10"/>
        <color theme="1"/>
        <rFont val="Arial"/>
        <family val="2"/>
      </rPr>
      <t>2</t>
    </r>
    <r>
      <rPr>
        <sz val="10"/>
        <color theme="1"/>
        <rFont val="Arial"/>
        <family val="2"/>
      </rPr>
      <t>.K and U-value of roofs should be lower than 1 W/m</t>
    </r>
    <r>
      <rPr>
        <vertAlign val="superscript"/>
        <sz val="10"/>
        <color theme="1"/>
        <rFont val="Arial"/>
        <family val="2"/>
      </rPr>
      <t>2</t>
    </r>
    <r>
      <rPr>
        <sz val="10"/>
        <color theme="1"/>
        <rFont val="Arial"/>
        <family val="2"/>
      </rPr>
      <t>.K.</t>
    </r>
  </si>
  <si>
    <t>Complete the tables below with calculated U-values: 
(U-values can be extracted from the tool 'LOTUS Calculator - OTTV calculation' or calculated separately.)</t>
  </si>
  <si>
    <r>
      <t>U-value (W/m</t>
    </r>
    <r>
      <rPr>
        <vertAlign val="superscript"/>
        <sz val="10"/>
        <color indexed="9"/>
        <rFont val="Arial"/>
        <family val="2"/>
      </rPr>
      <t>2</t>
    </r>
    <r>
      <rPr>
        <sz val="10"/>
        <color indexed="9"/>
        <rFont val="Arial"/>
        <family val="2"/>
      </rPr>
      <t>.K)</t>
    </r>
  </si>
  <si>
    <r>
      <t>Area of façade (m</t>
    </r>
    <r>
      <rPr>
        <vertAlign val="superscript"/>
        <sz val="10"/>
        <color indexed="9"/>
        <rFont val="Arial"/>
        <family val="2"/>
      </rPr>
      <t>2</t>
    </r>
    <r>
      <rPr>
        <sz val="10"/>
        <color indexed="9"/>
        <rFont val="Arial"/>
        <family val="2"/>
      </rPr>
      <t>)</t>
    </r>
  </si>
  <si>
    <r>
      <t>Area of roof (m</t>
    </r>
    <r>
      <rPr>
        <vertAlign val="superscript"/>
        <sz val="10"/>
        <color indexed="9"/>
        <rFont val="Arial"/>
        <family val="2"/>
      </rPr>
      <t>2</t>
    </r>
    <r>
      <rPr>
        <sz val="10"/>
        <color indexed="9"/>
        <rFont val="Arial"/>
        <family val="2"/>
      </rPr>
      <t>)</t>
    </r>
  </si>
  <si>
    <t>Façades</t>
  </si>
  <si>
    <t>Overall:</t>
  </si>
  <si>
    <r>
      <rPr>
        <b/>
        <sz val="10"/>
        <color rgb="FF943634"/>
        <rFont val="Arial"/>
        <family val="2"/>
      </rPr>
      <t>VBEEC</t>
    </r>
    <r>
      <rPr>
        <sz val="10"/>
        <color rgb="FF58AB27"/>
        <rFont val="Arial"/>
        <family val="2"/>
      </rPr>
      <t xml:space="preserve"> </t>
    </r>
    <r>
      <rPr>
        <sz val="10"/>
        <color theme="1"/>
        <rFont val="Arial"/>
        <family val="2"/>
      </rPr>
      <t>- The Vietnam Building Energy Efficiency Code QCXDVN 09:2013/BXD is issued by the Ministry of Construction and is mandatory in Vietnam in order to help meet energy saving goals.</t>
    </r>
  </si>
  <si>
    <r>
      <rPr>
        <b/>
        <sz val="10"/>
        <color rgb="FF943634"/>
        <rFont val="Arial"/>
        <family val="2"/>
      </rPr>
      <t xml:space="preserve">Ventilation - </t>
    </r>
    <r>
      <rPr>
        <sz val="10"/>
        <rFont val="Arial"/>
        <family val="2"/>
      </rPr>
      <t>The process of supplying fresh air and removing vitiated air by natural or mechanical means to and from a space. Such air may or may not have been conditioned.</t>
    </r>
  </si>
  <si>
    <t>Glossary</t>
  </si>
  <si>
    <r>
      <rPr>
        <b/>
        <sz val="10"/>
        <color rgb="FF943634"/>
        <rFont val="Arial"/>
        <family val="2"/>
      </rPr>
      <t>Applicant</t>
    </r>
    <r>
      <rPr>
        <sz val="10"/>
        <rFont val="Arial"/>
        <family val="2"/>
      </rPr>
      <t xml:space="preserve"> - The person/organization applying for LOTUS Certification of a project.</t>
    </r>
  </si>
  <si>
    <r>
      <rPr>
        <b/>
        <sz val="10"/>
        <color rgb="FF943634"/>
        <rFont val="Arial"/>
        <family val="2"/>
      </rPr>
      <t>Applicant Representative</t>
    </r>
    <r>
      <rPr>
        <sz val="10"/>
        <rFont val="Arial"/>
        <family val="2"/>
      </rPr>
      <t xml:space="preserve"> - The Applicant Representative is responsible for all elements of the certification and submission process within LOTUS Rating Systems. The Applicant Representative will directly liaise with the VGBC Representative throughout all stages of LOTUS Certification</t>
    </r>
  </si>
  <si>
    <r>
      <rPr>
        <b/>
        <sz val="10"/>
        <color rgb="FF943634"/>
        <rFont val="Arial"/>
        <family val="2"/>
      </rPr>
      <t>Category</t>
    </r>
    <r>
      <rPr>
        <sz val="10"/>
        <rFont val="Arial"/>
        <family val="2"/>
      </rPr>
      <t xml:space="preserve"> - A Category is a grouping of Credits that have a similar area of focus and perceived environmental impact.</t>
    </r>
  </si>
  <si>
    <r>
      <rPr>
        <b/>
        <sz val="10"/>
        <color rgb="FF943634"/>
        <rFont val="Arial"/>
        <family val="2"/>
      </rPr>
      <t>Credit</t>
    </r>
    <r>
      <rPr>
        <sz val="10"/>
        <rFont val="Arial"/>
        <family val="2"/>
      </rPr>
      <t xml:space="preserve"> - Each Credit has a specific intent that, if followed and achieved, allows the user to gain points within a LOTUS Rating System. </t>
    </r>
  </si>
  <si>
    <r>
      <rPr>
        <b/>
        <sz val="10"/>
        <color rgb="FF943634"/>
        <rFont val="Arial"/>
        <family val="2"/>
      </rPr>
      <t>Submission Section</t>
    </r>
    <r>
      <rPr>
        <sz val="10"/>
        <rFont val="Arial"/>
        <family val="2"/>
      </rPr>
      <t xml:space="preserve"> - The Submission Section details all requirements that will be assessed for LOTUS Certification.</t>
    </r>
  </si>
  <si>
    <t>LOTUS Submission terms</t>
  </si>
  <si>
    <r>
      <rPr>
        <b/>
        <sz val="10"/>
        <color rgb="FF943634"/>
        <rFont val="Arial"/>
        <family val="2"/>
      </rPr>
      <t>Volatile Organic Compound (VOC)</t>
    </r>
    <r>
      <rPr>
        <sz val="10"/>
        <rFont val="Arial"/>
        <family val="2"/>
      </rPr>
      <t xml:space="preserve"> - An organic chemical compound that enters gaseous phase under normal room conditions due to its high vapour pressures. Some VOCs have negative effects on human health when concentrated in poorly ventilated indoor spaces.</t>
    </r>
  </si>
  <si>
    <r>
      <rPr>
        <b/>
        <sz val="10"/>
        <color rgb="FF943634"/>
        <rFont val="Arial"/>
        <family val="2"/>
      </rPr>
      <t>Water efficient fixture</t>
    </r>
    <r>
      <rPr>
        <sz val="10"/>
        <rFont val="Arial"/>
        <family val="2"/>
      </rPr>
      <t xml:space="preserve"> - Water-based fixture that requires less amount of water to complete a designed task than most average fixtures</t>
    </r>
  </si>
  <si>
    <r>
      <rPr>
        <b/>
        <sz val="10"/>
        <color rgb="FF943634"/>
        <rFont val="Arial"/>
        <family val="2"/>
      </rPr>
      <t>Xeriscaping</t>
    </r>
    <r>
      <rPr>
        <sz val="10"/>
        <rFont val="Arial"/>
        <family val="2"/>
      </rPr>
      <t xml:space="preserve"> - Landscaping that minimizes the need for supplemented watering. Xeriscaping is particularly encouraged in areas where fresh water accessibility is limited.</t>
    </r>
  </si>
  <si>
    <r>
      <rPr>
        <b/>
        <sz val="10"/>
        <color rgb="FF943634"/>
        <rFont val="Arial"/>
        <family val="2"/>
      </rPr>
      <t>Renewable energy</t>
    </r>
    <r>
      <rPr>
        <sz val="10"/>
        <rFont val="Arial"/>
        <family val="2"/>
      </rPr>
      <t xml:space="preserve"> - Energy generated from sources (sunlight, wind, rain, tides, and geothermal heat) that are replenished naturally and continually.</t>
    </r>
  </si>
  <si>
    <r>
      <rPr>
        <b/>
        <sz val="10"/>
        <color rgb="FF943634"/>
        <rFont val="Arial"/>
        <family val="2"/>
      </rPr>
      <t>Refrigerant</t>
    </r>
    <r>
      <rPr>
        <sz val="10"/>
        <rFont val="Arial"/>
        <family val="2"/>
      </rPr>
      <t xml:space="preserve"> - A refrigerant is a compound used in a heat cycle that reversibly undergoes a phase change from a gas to a liquid in a process of converting thermal energy to mechanical output.</t>
    </r>
  </si>
  <si>
    <r>
      <rPr>
        <b/>
        <sz val="10"/>
        <color rgb="FF943634"/>
        <rFont val="Arial"/>
        <family val="2"/>
      </rPr>
      <t>Rapidly renewable materials</t>
    </r>
    <r>
      <rPr>
        <sz val="10"/>
        <rFont val="Arial"/>
        <family val="2"/>
      </rPr>
      <t xml:space="preserve"> - A rapidly renewable material is a source that can regenerate what has once been harvested within 10 years or less.</t>
    </r>
  </si>
  <si>
    <r>
      <rPr>
        <b/>
        <sz val="10"/>
        <color rgb="FF943634"/>
        <rFont val="Arial"/>
        <family val="2"/>
      </rPr>
      <t>Overall Thermal Transfer Value</t>
    </r>
    <r>
      <rPr>
        <sz val="10"/>
        <rFont val="Arial"/>
        <family val="2"/>
      </rPr>
      <t xml:space="preserve"> </t>
    </r>
    <r>
      <rPr>
        <b/>
        <sz val="10"/>
        <color rgb="FF943634"/>
        <rFont val="Arial"/>
        <family val="2"/>
      </rPr>
      <t>(OTTV)</t>
    </r>
    <r>
      <rPr>
        <sz val="10"/>
        <rFont val="Arial"/>
        <family val="2"/>
      </rPr>
      <t xml:space="preserve"> - OTTV is a measure of the average heat gain into a building through its envelope. It is measured in W/m2. A building with a higher OTTV will impose a greater load on the air-conditioning system, which would have to expend more electrical energy in removing it. The aim of low OTTV is to ensure adequately designed building envelopes which cut down external heat gains and hence reduce the cooling load of air-conditioning systems.</t>
    </r>
  </si>
  <si>
    <r>
      <rPr>
        <b/>
        <sz val="10"/>
        <color rgb="FF943634"/>
        <rFont val="Arial"/>
        <family val="2"/>
      </rPr>
      <t>Non-baked materials</t>
    </r>
    <r>
      <rPr>
        <sz val="10"/>
        <rFont val="Arial"/>
        <family val="2"/>
      </rPr>
      <t xml:space="preserve"> - Also called Non-fired materials. They are building materials that solidify and meet all required physical properties (compressive strength, bending strength, water absorption, etc.) without undergoing the firing process. In the Decision No. 567/QD-TTg of April 28, 2010 (Approving the Program on development of non-baked building materials through 2020), the Vietnamese government has officially supported the development of non-baked materials to replace traditionally baked bricks, a main cause of pollution and energy waste.</t>
    </r>
  </si>
  <si>
    <r>
      <rPr>
        <b/>
        <sz val="10"/>
        <color rgb="FF943634"/>
        <rFont val="Arial"/>
        <family val="2"/>
      </rPr>
      <t>Natural ventilation</t>
    </r>
    <r>
      <rPr>
        <sz val="10"/>
        <rFont val="Arial"/>
        <family val="2"/>
      </rPr>
      <t xml:space="preserve"> - Technologies or design features used to ventilate buildings without power consumption. Natural ventilation, unlike fan-forced ventilation, uses the natural forces of wind and buoyancy to deliver fresh air into buildings.</t>
    </r>
  </si>
  <si>
    <r>
      <rPr>
        <b/>
        <sz val="10"/>
        <color rgb="FF943634"/>
        <rFont val="Arial"/>
        <family val="2"/>
      </rPr>
      <t>Natural lighting</t>
    </r>
    <r>
      <rPr>
        <sz val="10"/>
        <rFont val="Arial"/>
        <family val="2"/>
      </rPr>
      <t xml:space="preserve"> - Technologies or design strategies used to provide lighting to buildings without power consumption. Although maximizing natural lighting will minimize electricity consumption used for lighting, too much solar irradiation will heat up the building and increase cooling load.</t>
    </r>
  </si>
  <si>
    <r>
      <rPr>
        <b/>
        <sz val="10"/>
        <color rgb="FF943634"/>
        <rFont val="Arial"/>
        <family val="2"/>
      </rPr>
      <t>Lumen (Lm)</t>
    </r>
    <r>
      <rPr>
        <sz val="10"/>
        <rFont val="Arial"/>
        <family val="2"/>
      </rPr>
      <t xml:space="preserve"> - SI unit of luminous flux. Radio-metrically, it is determined from the radiant power. Photo-metrically, it is the luminous flux emitted within a unit solid angle (one steradian) by a point source having a uniform luminous intensity of one candela.</t>
    </r>
  </si>
  <si>
    <r>
      <rPr>
        <b/>
        <sz val="10"/>
        <color rgb="FF943634"/>
        <rFont val="Arial"/>
        <family val="2"/>
      </rPr>
      <t>Fenestration</t>
    </r>
    <r>
      <rPr>
        <sz val="10"/>
        <rFont val="Arial"/>
        <family val="2"/>
      </rPr>
      <t xml:space="preserve"> - Any light-transmitting component in a building wall or roof. The fenestration includes glazing material (which may be glass or plastic), framing, external shading devices, internal shading devices, and integral (between-glass) shading devices.</t>
    </r>
  </si>
  <si>
    <r>
      <rPr>
        <b/>
        <sz val="10"/>
        <color rgb="FF943634"/>
        <rFont val="Arial"/>
        <family val="2"/>
      </rPr>
      <t>Coefficient of performance (COP)</t>
    </r>
    <r>
      <rPr>
        <sz val="10"/>
        <rFont val="Arial"/>
        <family val="2"/>
      </rPr>
      <t xml:space="preserve"> - The ratio of the rate of heat removal to the rate of energy input in consistent units, for a complete cooling system or factory assembled equipment, as tested under a nationally recognised standard or designated operating conditions. </t>
    </r>
  </si>
  <si>
    <r>
      <rPr>
        <b/>
        <sz val="10"/>
        <color rgb="FF943634"/>
        <rFont val="Arial"/>
        <family val="2"/>
      </rPr>
      <t>Building envelope</t>
    </r>
    <r>
      <rPr>
        <sz val="10"/>
        <rFont val="Arial"/>
        <family val="2"/>
      </rPr>
      <t xml:space="preserve"> - The elements of a building that enclose conditioned spaces through which thermal energy may be transferred to or from the exterior or to or from unconditioned spaces.</t>
    </r>
  </si>
  <si>
    <t>Application and Registration</t>
  </si>
  <si>
    <t>Documentation</t>
  </si>
  <si>
    <t>The main material to LOTUS Homes Submissions is the LOTUS Homes User Tool. This tool is a template for the applicant to:</t>
  </si>
  <si>
    <t>• have a complete overview of LOTUS Homes</t>
  </si>
  <si>
    <t>• complete all the information and perform all the calculations required in the credits</t>
  </si>
  <si>
    <t xml:space="preserve">The User Tool has been developed in such a way that the users only need to fill in some relevant information about the project and all the results are displayed automatically. </t>
  </si>
  <si>
    <t>Submission Folder</t>
  </si>
  <si>
    <t>Once payment for certification fee has been received and the certification agreement has been duly signed, the VGBC Representative provides the Applicant Representative with the following pre-arranged submission folder.</t>
  </si>
  <si>
    <t>The Project Submission Folder is the main folder provided that, upon completion, will be returned to the VGBC Representative for assessment. The Project Submission Folder contains 8 sub-folders for the LOTUS Homes Categories and a Resources Folder.</t>
  </si>
  <si>
    <t>Category Folders</t>
  </si>
  <si>
    <t xml:space="preserve">Within each of the 7 category folders, include the supporting evidence for the credits of the category that are pursued. </t>
  </si>
  <si>
    <r>
      <t xml:space="preserve">Email: </t>
    </r>
    <r>
      <rPr>
        <u/>
        <sz val="11"/>
        <color rgb="FFFFFFFF"/>
        <rFont val="Arial"/>
        <family val="2"/>
      </rPr>
      <t>certification@vgbc.org.vn</t>
    </r>
  </si>
  <si>
    <t>LOTUS Project Application Form</t>
  </si>
  <si>
    <t>LOTUS Homes Certification</t>
  </si>
  <si>
    <t>1. Project Information</t>
  </si>
  <si>
    <t>Project name</t>
  </si>
  <si>
    <t>Project address</t>
  </si>
  <si>
    <t>Building type</t>
  </si>
  <si>
    <t>Describe type of works</t>
  </si>
  <si>
    <t>Brief project description and major design features
(images can be attached to this form and sent by email)</t>
  </si>
  <si>
    <t>Number of storeys</t>
  </si>
  <si>
    <t>Expected construction start date</t>
  </si>
  <si>
    <t>Expected completion date</t>
  </si>
  <si>
    <t>Desired LOTUS Rating</t>
  </si>
  <si>
    <t xml:space="preserve">Is the project confidential?  </t>
  </si>
  <si>
    <t>2. Project Owner Information</t>
  </si>
  <si>
    <t>Phone</t>
  </si>
  <si>
    <t>Mobile phone</t>
  </si>
  <si>
    <t>Address</t>
  </si>
  <si>
    <t>Email address</t>
  </si>
  <si>
    <t>*The Applicant Representative is responsible for all elements of the certification and submission process within LOTUS Rating Tools. The Applicant Representative will directly liaise with the VGBC Representative throughout all stages of LOTUS Certification.</t>
  </si>
  <si>
    <t>Organization</t>
  </si>
  <si>
    <t>4. LOTUS Requirements</t>
  </si>
  <si>
    <t>As the project owner (or the Applicant Representative), I understand the following:</t>
  </si>
  <si>
    <t>Buildings can only be assessed by the VGBC if they meet all LOTUS Homes eligibility criteria.</t>
  </si>
  <si>
    <t>LOTUS ratings can only be marketed after the project has been formally assessed by the VGBC and a certification has been awarded. Marketing resources will be provided by the VGBC to assist with marketing.</t>
  </si>
  <si>
    <t>Documentation provided must accurately represent the project. The VGBC can request additional documentation from the project team to verify the environmental initiatives being claimed.</t>
  </si>
  <si>
    <t>5. Application/Submission</t>
  </si>
  <si>
    <t>Signature of the Owner or Representative</t>
  </si>
  <si>
    <t>Billing Address</t>
  </si>
  <si>
    <t>LOTUS Registration No.</t>
  </si>
  <si>
    <t>Date of submission</t>
  </si>
  <si>
    <t>• The application will not be processed unless this form is duly completed.</t>
  </si>
  <si>
    <t>• The applicant will be informed of the non-refundable registration fees which will be paid upon acceptance of the application form.</t>
  </si>
  <si>
    <t>• A notification of payment document will be issued once the Application has been approved. 
The registration fee must be made within 5 working days as soon as the applicant receives this document</t>
  </si>
  <si>
    <t>• Registration is not finalised until all fees and agreements have been completed.</t>
  </si>
  <si>
    <t>Please send the duly completed form to:</t>
  </si>
  <si>
    <t>Vietnam Green Building Council</t>
  </si>
  <si>
    <r>
      <rPr>
        <b/>
        <sz val="10"/>
        <color rgb="FF943634"/>
        <rFont val="Arial"/>
        <family val="2"/>
      </rPr>
      <t xml:space="preserve">Application Form - </t>
    </r>
    <r>
      <rPr>
        <sz val="10"/>
        <rFont val="Arial"/>
        <family val="2"/>
      </rPr>
      <t>The Application Form is the first step in registering a project with the VGBC. Once completed, the VGBC will check to see that all relevant information is present and correct, register the project and request the payment of a Registration/Certification Fee and the signing of the Provisional Certification Agreement.</t>
    </r>
  </si>
  <si>
    <r>
      <rPr>
        <sz val="11"/>
        <rFont val="Symbol"/>
        <family val="1"/>
        <charset val="2"/>
      </rPr>
      <t>®</t>
    </r>
    <r>
      <rPr>
        <sz val="11"/>
        <rFont val="Calibri"/>
        <family val="2"/>
        <scheme val="minor"/>
      </rPr>
      <t xml:space="preserve"> Only light red-coloured cells need to be filled (this is valid for the whole User Tool)</t>
    </r>
  </si>
  <si>
    <r>
      <rPr>
        <sz val="11"/>
        <rFont val="Symbol"/>
        <family val="1"/>
        <charset val="2"/>
      </rPr>
      <t>®</t>
    </r>
    <r>
      <rPr>
        <sz val="11"/>
        <rFont val="Calibri"/>
        <family val="2"/>
      </rPr>
      <t xml:space="preserve"> </t>
    </r>
    <r>
      <rPr>
        <sz val="11"/>
        <rFont val="Calibri"/>
        <family val="2"/>
        <scheme val="minor"/>
      </rPr>
      <t>When clicking on these cells, additional information may be provided to help completing the cells</t>
    </r>
  </si>
  <si>
    <r>
      <t>Project size (Gross Floor Area in m</t>
    </r>
    <r>
      <rPr>
        <vertAlign val="superscript"/>
        <sz val="11"/>
        <color theme="1"/>
        <rFont val="Arial"/>
        <family val="2"/>
      </rPr>
      <t>2</t>
    </r>
    <r>
      <rPr>
        <sz val="11"/>
        <color theme="1"/>
        <rFont val="Arial"/>
        <family val="2"/>
      </rPr>
      <t>, excluding car park areas)</t>
    </r>
  </si>
  <si>
    <t>3. Applicant Representative (if any) *</t>
  </si>
  <si>
    <t>Organization stamp (if any):</t>
  </si>
  <si>
    <t>Organization (if any)</t>
  </si>
  <si>
    <t xml:space="preserve">Once completed, the Applicant simply sends the completed User Tool to VGBC for verification. </t>
  </si>
  <si>
    <t xml:space="preserve">This is the actual submittal stage for certification under LOTUS Homes. It should happen at the end of the construction stage. </t>
  </si>
  <si>
    <t>The data supplied will be assessed by the VGBC and results of the assessment will be provided to the Applicant Representative within 4 weeks of the submission date.</t>
  </si>
  <si>
    <t>Based on the results of the assessment of the Certification Submission a LOTUS Homes Certificate will be issued.</t>
  </si>
  <si>
    <t>Round 1</t>
  </si>
  <si>
    <t xml:space="preserve">Applicants must fully complete the User Tool and make sure to provide all required documentation (as specified in the 'Submissions' sections of each credit) to the VGBC. </t>
  </si>
  <si>
    <t>Round 2</t>
  </si>
  <si>
    <t xml:space="preserve">In case that submission for any credit submitted for LOTUS Certification is denied, or if the Applicant would like the opportunity to score higher for that credit, a second round of submissions for re-assessment is available to projects. </t>
  </si>
  <si>
    <t>Results of the assessment will be provided to the Applicant Representative within 4 weeks of the submission date. In special cases further appeals and/or applications may be permitted, however these may generate additional fees.</t>
  </si>
  <si>
    <t xml:space="preserve">The LOTUS Certificate will be issued by the VGBC upon successful completion of this final assessment. Building projects will be issued with LOTUS Certified, LOTUS Silver, LOTUS Gold or LOTUS Platinum certificates depending on the number of points achieved. </t>
  </si>
  <si>
    <t>Select glazing materials with SHGC values lower than the values required by VBEEC (Table E.3 below)</t>
  </si>
  <si>
    <r>
      <t>Area of glazing (m</t>
    </r>
    <r>
      <rPr>
        <vertAlign val="superscript"/>
        <sz val="10"/>
        <color indexed="9"/>
        <rFont val="Arial"/>
        <family val="2"/>
      </rPr>
      <t>2</t>
    </r>
    <r>
      <rPr>
        <sz val="10"/>
        <color indexed="9"/>
        <rFont val="Arial"/>
        <family val="2"/>
      </rPr>
      <t>)</t>
    </r>
  </si>
  <si>
    <r>
      <rPr>
        <sz val="10"/>
        <color rgb="FF58B527"/>
        <rFont val="Arial"/>
        <family val="2"/>
      </rPr>
      <t>Table E.3</t>
    </r>
    <r>
      <rPr>
        <sz val="10"/>
        <rFont val="Arial"/>
        <family val="2"/>
      </rPr>
      <t>: Maximum SHGC values of glazing for different WWR and orientations (Source: Table 2.3 of QCVN 09:2013)</t>
    </r>
  </si>
  <si>
    <r>
      <rPr>
        <sz val="10"/>
        <color rgb="FF58B527"/>
        <rFont val="Arial"/>
        <family val="2"/>
      </rPr>
      <t>Table</t>
    </r>
    <r>
      <rPr>
        <sz val="10"/>
        <rFont val="Arial"/>
        <family val="2"/>
      </rPr>
      <t>: A coefficient for consistent horizontal sunshades placed on or above the upper window edge</t>
    </r>
  </si>
  <si>
    <t>Source: Table 2.5 of QCVN 09:2013 - VBEEC</t>
  </si>
  <si>
    <r>
      <rPr>
        <sz val="10"/>
        <color rgb="FF58B527"/>
        <rFont val="Arial"/>
        <family val="2"/>
      </rPr>
      <t>Table</t>
    </r>
    <r>
      <rPr>
        <sz val="10"/>
        <rFont val="Arial"/>
        <family val="2"/>
      </rPr>
      <t>: A coefficient for consistent vertical sunshades placed on or next to a window side by a clearance e, with e/B &lt; 0.1</t>
    </r>
  </si>
  <si>
    <t>1) Dimensions:</t>
  </si>
  <si>
    <t xml:space="preserve">      b – reach of sunshade; </t>
  </si>
  <si>
    <t xml:space="preserve">      H – window height;  </t>
  </si>
  <si>
    <t xml:space="preserve">      d – clearance from upper window edge to lower sunshade contact; </t>
  </si>
  <si>
    <t xml:space="preserve">     b, d and H share the same dimension for length.</t>
  </si>
  <si>
    <t>2) Applicable for sunshades placed above the upper window edge by a clearance d, with d/H ≤ 0.1 – tolerance of less than 10%.</t>
  </si>
  <si>
    <t>b – reach of vertical sunshade;</t>
  </si>
  <si>
    <t>B – window width;</t>
  </si>
  <si>
    <t>e – clearance from window side to vertical sunshade inner contact;</t>
  </si>
  <si>
    <t>b, e and B share the same dimension for length.</t>
  </si>
  <si>
    <t>2) Applicable also for vertical sunshades placed by a clearance e from the window side, with e/B ≤ 0.1, tolerance of less than 10%.</t>
  </si>
  <si>
    <t>Horizontal sunshades</t>
  </si>
  <si>
    <t>Vertical Sunshades</t>
  </si>
  <si>
    <t xml:space="preserve">- Plant native and/or climate adapted plants </t>
  </si>
  <si>
    <t>- Reduce lawn area</t>
  </si>
  <si>
    <t xml:space="preserve">- Drip or bubble irrigation systems that apply water directly to the roots of plants. </t>
  </si>
  <si>
    <t>For VGBC Use</t>
  </si>
  <si>
    <r>
      <rPr>
        <sz val="10"/>
        <rFont val="Calibri"/>
        <family val="2"/>
      </rPr>
      <t>•</t>
    </r>
    <r>
      <rPr>
        <sz val="10"/>
        <rFont val="Arial"/>
        <family val="2"/>
      </rPr>
      <t xml:space="preserve"> Xeriscaping Landscape</t>
    </r>
  </si>
  <si>
    <t>- Mulch regularly</t>
  </si>
  <si>
    <t>- Irrigation systems fitted with timers</t>
  </si>
  <si>
    <t>Provide a Site Analysis considering local environmental conditions.</t>
  </si>
  <si>
    <t>Compliant Site analysis?</t>
  </si>
  <si>
    <t>If no site analysis plan is provided, the table below should be completed:</t>
  </si>
  <si>
    <r>
      <rPr>
        <i/>
        <sz val="10"/>
        <color rgb="FF943634"/>
        <rFont val="Arial"/>
        <family val="2"/>
      </rPr>
      <t>Figure H.2</t>
    </r>
    <r>
      <rPr>
        <i/>
        <sz val="10"/>
        <rFont val="Arial"/>
        <family val="2"/>
      </rPr>
      <t>: Measurement of the skylit daylit area with an obstruction height less than half the ceiling height</t>
    </r>
  </si>
  <si>
    <r>
      <rPr>
        <i/>
        <sz val="10"/>
        <color rgb="FF943634"/>
        <rFont val="Arial"/>
        <family val="2"/>
      </rPr>
      <t>Figure H.3</t>
    </r>
    <r>
      <rPr>
        <i/>
        <sz val="10"/>
        <rFont val="Arial"/>
        <family val="2"/>
      </rPr>
      <t>: Measurement of the skylit daylit area with an obstruction height more than half the ceiling height</t>
    </r>
  </si>
  <si>
    <t>• Naturally ventilated spaces:</t>
  </si>
  <si>
    <t>List and area of glazing elements</t>
  </si>
  <si>
    <r>
      <t>Total glazing area (m</t>
    </r>
    <r>
      <rPr>
        <vertAlign val="superscript"/>
        <sz val="10"/>
        <color theme="0"/>
        <rFont val="Arial"/>
        <family val="2"/>
      </rPr>
      <t>2</t>
    </r>
    <r>
      <rPr>
        <sz val="10"/>
        <color theme="0"/>
        <rFont val="Arial"/>
        <family val="2"/>
      </rPr>
      <t xml:space="preserve">) </t>
    </r>
  </si>
  <si>
    <r>
      <t>Facade area (m</t>
    </r>
    <r>
      <rPr>
        <vertAlign val="superscript"/>
        <sz val="10"/>
        <color theme="0"/>
        <rFont val="Arial"/>
        <family val="2"/>
      </rPr>
      <t>2</t>
    </r>
    <r>
      <rPr>
        <sz val="10"/>
        <color theme="0"/>
        <rFont val="Arial"/>
        <family val="2"/>
      </rPr>
      <t xml:space="preserve">) </t>
    </r>
  </si>
  <si>
    <r>
      <rPr>
        <sz val="10"/>
        <color rgb="FF58B527"/>
        <rFont val="Arial"/>
        <family val="2"/>
      </rPr>
      <t>Figure E.1</t>
    </r>
    <r>
      <rPr>
        <sz val="10"/>
        <rFont val="Arial"/>
        <family val="2"/>
      </rPr>
      <t>: Definition of the different facing façades</t>
    </r>
  </si>
  <si>
    <t>Strategy D: Wood Furniture</t>
  </si>
  <si>
    <t xml:space="preserve">• salvaged and reused wood furniture </t>
  </si>
  <si>
    <t>• wood furniture classified as U.L.E.F. (ultra-low-emitting formaldehyde), N.A.F. (no added formaldehyde) or other</t>
  </si>
  <si>
    <t>Select and install wood furniture that reduce exposure to formaldehyde among the following categories:</t>
  </si>
  <si>
    <t>Wood furniture using composite wood products (such as medium density fiberboard, particleboard, plywood, etc.) should be selected very carefully.</t>
  </si>
  <si>
    <t>Products containing urea-formaldehyde (UF) resin or phenol-formaldehyde (PF) resin should be avoided.</t>
  </si>
  <si>
    <r>
      <rPr>
        <sz val="10"/>
        <color rgb="FF58B527"/>
        <rFont val="Arial"/>
        <family val="2"/>
      </rPr>
      <t>Table E.4</t>
    </r>
    <r>
      <rPr>
        <sz val="10"/>
        <rFont val="Arial"/>
        <family val="2"/>
      </rPr>
      <t>: Minimum COP requirements for direct electric air conditioners (VBEEC Table 2.6)</t>
    </r>
  </si>
  <si>
    <t xml:space="preserve">Complete the Table below with information on all the lighting fixtures in the building (including task lights) </t>
  </si>
  <si>
    <t>Compliant solar hot water system?</t>
  </si>
  <si>
    <t>• Has a solar hot water system been installed to cover the hot water demand of the house?</t>
  </si>
  <si>
    <t>• Has a heat pump water heating system been installed to cover the hot water demand of the house?</t>
  </si>
  <si>
    <t>Select a properly sized solar water heating system</t>
  </si>
  <si>
    <t>• What is the capacity of the solar hot water system? (liters)</t>
  </si>
  <si>
    <t>Complete the Table below with information on the heat pump water heating equipment installed:</t>
  </si>
  <si>
    <t>This round will give the possibility to provide further evidence to demonstrate to the VGBC that pending Credits have finally been achieved. There is no limit to the number of credits that may be re-submitted, and the applicant is encouraged to re-submit all queried credits so long as they can provide new submittal information.</t>
  </si>
  <si>
    <r>
      <rPr>
        <b/>
        <sz val="16"/>
        <color rgb="FF943634"/>
        <rFont val="Calibri"/>
        <family val="2"/>
        <scheme val="minor"/>
      </rPr>
      <t xml:space="preserve">5. </t>
    </r>
    <r>
      <rPr>
        <b/>
        <u/>
        <sz val="16"/>
        <color rgb="FF943634"/>
        <rFont val="Calibri"/>
        <family val="2"/>
        <scheme val="minor"/>
      </rPr>
      <t>LOTUS Homes Certification Process</t>
    </r>
  </si>
  <si>
    <r>
      <rPr>
        <b/>
        <sz val="16"/>
        <color rgb="FF943634"/>
        <rFont val="Calibri"/>
        <family val="2"/>
        <scheme val="minor"/>
      </rPr>
      <t xml:space="preserve">4. </t>
    </r>
    <r>
      <rPr>
        <b/>
        <u/>
        <sz val="16"/>
        <color rgb="FF943634"/>
        <rFont val="Calibri"/>
        <family val="2"/>
        <scheme val="minor"/>
      </rPr>
      <t>LOTUS Homes Certification Levels</t>
    </r>
  </si>
  <si>
    <r>
      <rPr>
        <b/>
        <sz val="16"/>
        <color rgb="FF943634"/>
        <rFont val="Calibri"/>
        <family val="2"/>
        <scheme val="minor"/>
      </rPr>
      <t xml:space="preserve">3. </t>
    </r>
    <r>
      <rPr>
        <b/>
        <u/>
        <sz val="16"/>
        <color rgb="FF943634"/>
        <rFont val="Calibri"/>
        <family val="2"/>
        <scheme val="minor"/>
      </rPr>
      <t>LOTUS Homes Credits</t>
    </r>
  </si>
  <si>
    <r>
      <rPr>
        <b/>
        <sz val="16"/>
        <color rgb="FF943634"/>
        <rFont val="Calibri"/>
        <family val="2"/>
        <scheme val="minor"/>
      </rPr>
      <t xml:space="preserve">2. </t>
    </r>
    <r>
      <rPr>
        <b/>
        <u/>
        <sz val="16"/>
        <color rgb="FF943634"/>
        <rFont val="Calibri"/>
        <family val="2"/>
        <scheme val="minor"/>
      </rPr>
      <t>LOTUS Homes Categories</t>
    </r>
  </si>
  <si>
    <r>
      <rPr>
        <b/>
        <sz val="16"/>
        <color rgb="FF943634"/>
        <rFont val="Calibri"/>
        <family val="2"/>
        <scheme val="minor"/>
      </rPr>
      <t xml:space="preserve">1. </t>
    </r>
    <r>
      <rPr>
        <b/>
        <u/>
        <sz val="16"/>
        <color rgb="FF943634"/>
        <rFont val="Calibri"/>
        <family val="2"/>
        <scheme val="minor"/>
      </rPr>
      <t>LOTUS Homes Scope and Eligibility</t>
    </r>
  </si>
  <si>
    <t>• Evidence that the aforementioned water efficient fixtures have been installed such as photographs, receipts, etc.</t>
  </si>
  <si>
    <t>• Evidence showing that the materials installed are sustainable such as photographs, manufacturer’s data, etc</t>
  </si>
  <si>
    <t>• Evidence showing that the aforementioned materials were installed such as photographs, invoices, receipts, etc.</t>
  </si>
  <si>
    <t>• Evidence showing that the furniture items installed are sustainable such as photographs, manufacturer’s data, etc</t>
  </si>
  <si>
    <t>• Evidence showing that the aforementioned furniture items were installed such as photographs, invoices, receipts, etc.</t>
  </si>
  <si>
    <t>• File 'LOTUS Calculator - OTTV calculation' including all calculations</t>
  </si>
  <si>
    <t>• Photographs showing the different components of the rainwater harvesting system (catchment area, gutters, storage tank, treatment methods, distribution pumps, etc.)</t>
  </si>
  <si>
    <r>
      <t>• Photographs and technical data of the CO</t>
    </r>
    <r>
      <rPr>
        <vertAlign val="subscript"/>
        <sz val="10"/>
        <rFont val="Arial"/>
        <family val="2"/>
      </rPr>
      <t>2</t>
    </r>
    <r>
      <rPr>
        <sz val="10"/>
        <rFont val="Arial"/>
        <family val="2"/>
      </rPr>
      <t xml:space="preserve"> sensors installed.</t>
    </r>
  </si>
  <si>
    <t>• Evidence showing that the lighting fixtures were installed such as photographs, invoices, etc.</t>
  </si>
  <si>
    <t>• Evidence showing that the materials used in the calculations were installed such as photographs, invoices, etc.</t>
  </si>
  <si>
    <t>Current Submission stage</t>
  </si>
  <si>
    <t>Number of pot plants</t>
  </si>
  <si>
    <t>Plant unit number</t>
  </si>
  <si>
    <r>
      <rPr>
        <sz val="10"/>
        <color theme="1"/>
        <rFont val="Calibri"/>
        <family val="2"/>
      </rPr>
      <t>&lt;</t>
    </r>
    <r>
      <rPr>
        <sz val="10"/>
        <color theme="1"/>
        <rFont val="Arial"/>
        <family val="2"/>
      </rPr>
      <t xml:space="preserve"> 100</t>
    </r>
  </si>
  <si>
    <r>
      <rPr>
        <sz val="10"/>
        <color theme="1"/>
        <rFont val="Calibri"/>
        <family val="2"/>
      </rPr>
      <t xml:space="preserve">≥ </t>
    </r>
    <r>
      <rPr>
        <sz val="10"/>
        <color theme="1"/>
        <rFont val="Arial"/>
        <family val="2"/>
      </rPr>
      <t xml:space="preserve">100 and &lt; 200 </t>
    </r>
  </si>
  <si>
    <t>≥ 200 and &lt; 250</t>
  </si>
  <si>
    <t>≥ 250 and &lt; 320</t>
  </si>
  <si>
    <t>≥ 320 and &lt; 400</t>
  </si>
  <si>
    <t>≥ 400 and &lt; 550</t>
  </si>
  <si>
    <t>≥ 550</t>
  </si>
  <si>
    <t>Bed &amp; Vertical Planting</t>
  </si>
  <si>
    <t>Determine number of equivalent pots based on a width of 250mm.</t>
  </si>
  <si>
    <t>• Furniture made from rapidly renewable materials, such as: bamboo, cork, coconut, etc. (rapidly renewable materials should exceed 50% of the furniture by mass)</t>
  </si>
  <si>
    <t>• Furniture made from timber coming from sustainable sources (sustainable timber should exceed 50% of the furniture by mass)</t>
  </si>
  <si>
    <t>• Evidence showing the involvement of a LOTUS AP from design to completion of construction</t>
  </si>
  <si>
    <t>• Evidence showing that at least 2 different activities to promote general public awareness have been conducted such as photographs, newspaper extracts, etc.</t>
  </si>
  <si>
    <r>
      <t>To be compliant with the credit, ceiling fans or wall-mounted fans (with a minimum density of 1 per 20 m</t>
    </r>
    <r>
      <rPr>
        <vertAlign val="superscript"/>
        <sz val="10"/>
        <rFont val="Arial"/>
        <family val="2"/>
      </rPr>
      <t>2</t>
    </r>
    <r>
      <rPr>
        <sz val="10"/>
        <rFont val="Arial"/>
        <family val="2"/>
      </rPr>
      <t>) must be provided in the living rooms, bedrooms and kitchens without air-conditioning.</t>
    </r>
  </si>
  <si>
    <r>
      <rPr>
        <sz val="10"/>
        <rFont val="Calibri"/>
        <family val="2"/>
      </rPr>
      <t>•</t>
    </r>
    <r>
      <rPr>
        <sz val="10"/>
        <rFont val="Arial"/>
        <family val="2"/>
      </rPr>
      <t xml:space="preserve"> There is no more than one doorway or opening smaller than 2 m</t>
    </r>
    <r>
      <rPr>
        <vertAlign val="superscript"/>
        <sz val="10"/>
        <rFont val="Arial"/>
        <family val="2"/>
      </rPr>
      <t>2</t>
    </r>
    <r>
      <rPr>
        <sz val="10"/>
        <rFont val="Arial"/>
        <family val="2"/>
      </rPr>
      <t xml:space="preserve"> between the ventilation openings</t>
    </r>
  </si>
  <si>
    <r>
      <rPr>
        <sz val="10"/>
        <rFont val="Calibri"/>
        <family val="2"/>
      </rPr>
      <t>•</t>
    </r>
    <r>
      <rPr>
        <sz val="10"/>
        <rFont val="Arial"/>
        <family val="2"/>
      </rPr>
      <t xml:space="preserve"> Window openings have an openable area of at least 1 m</t>
    </r>
    <r>
      <rPr>
        <vertAlign val="superscript"/>
        <sz val="10"/>
        <rFont val="Arial"/>
        <family val="2"/>
      </rPr>
      <t>2</t>
    </r>
    <r>
      <rPr>
        <sz val="10"/>
        <rFont val="Arial"/>
        <family val="2"/>
      </rPr>
      <t>.</t>
    </r>
  </si>
  <si>
    <r>
      <t>Area of the room (m</t>
    </r>
    <r>
      <rPr>
        <vertAlign val="superscript"/>
        <sz val="10"/>
        <color indexed="9"/>
        <rFont val="Arial"/>
        <family val="2"/>
      </rPr>
      <t>2</t>
    </r>
    <r>
      <rPr>
        <sz val="10"/>
        <color indexed="9"/>
        <rFont val="Arial"/>
        <family val="2"/>
      </rPr>
      <t>)</t>
    </r>
  </si>
  <si>
    <r>
      <t>Openings have an openable area more than 1 m</t>
    </r>
    <r>
      <rPr>
        <vertAlign val="superscript"/>
        <sz val="10"/>
        <color indexed="9"/>
        <rFont val="Arial"/>
        <family val="2"/>
      </rPr>
      <t>2</t>
    </r>
    <r>
      <rPr>
        <sz val="10"/>
        <color indexed="9"/>
        <rFont val="Arial"/>
        <family val="2"/>
      </rPr>
      <t xml:space="preserve"> ?</t>
    </r>
  </si>
  <si>
    <t>• Technical data and/or photographs showing the number of stars under VNEEP labelling of the air-conditioning units installed</t>
  </si>
  <si>
    <t>• Evidence of the solar water heater installed such as photographs, invoices, receipts, etc.</t>
  </si>
  <si>
    <t>• Evidence of the heat pump water heating system installed such as photographs, invoices, receipts, etc.</t>
  </si>
  <si>
    <t>• Evidence of the air-conditioning units were installed such as photographs, invoices, etc.</t>
  </si>
  <si>
    <t xml:space="preserve">• Landscape plan outlining the landscape design with a list of all plants </t>
  </si>
  <si>
    <t xml:space="preserve">• Evidence of the efficient irrigation system such as photographs, manufacturer's data, etc. </t>
  </si>
  <si>
    <t>• Evidence of the water filtration system installed such as photographs, invoices, etc.</t>
  </si>
  <si>
    <t>At Certification stage, for each credit pursued, supporting evidence for the credit should be submitted. The list of documents to provide is given in the Submissions section of credits.</t>
  </si>
  <si>
    <r>
      <rPr>
        <b/>
        <sz val="10"/>
        <color rgb="FF943634"/>
        <rFont val="Arial"/>
        <family val="2"/>
      </rPr>
      <t>Project Identification Number (PIN)</t>
    </r>
    <r>
      <rPr>
        <sz val="10"/>
        <rFont val="Arial"/>
        <family val="2"/>
      </rPr>
      <t xml:space="preserve"> - The Project Identification Number (PIN) is a unique reference number issued at the Registration Confirmation. This reference number must be protected and is for the use of the Applicant Representative when providing submissions to the VGBC.</t>
    </r>
  </si>
  <si>
    <r>
      <rPr>
        <b/>
        <sz val="10"/>
        <color rgb="FF943634"/>
        <rFont val="Arial"/>
        <family val="2"/>
      </rPr>
      <t>Submission</t>
    </r>
    <r>
      <rPr>
        <sz val="10"/>
        <rFont val="Arial"/>
        <family val="2"/>
      </rPr>
      <t xml:space="preserve"> - In each Credit, the Submission is the process where all documents are provided to the VGBC Representative for assessment.</t>
    </r>
  </si>
  <si>
    <t>• Non-baked Materials such as concrete blocks, gypsum panels, aerated autoclaved concrete, etc.</t>
  </si>
  <si>
    <t>Local materials</t>
  </si>
  <si>
    <t>Sustainable item?</t>
  </si>
  <si>
    <r>
      <t>Total Site Area (m</t>
    </r>
    <r>
      <rPr>
        <vertAlign val="superscript"/>
        <sz val="11"/>
        <color theme="1"/>
        <rFont val="Arial"/>
        <family val="2"/>
      </rPr>
      <t>2</t>
    </r>
    <r>
      <rPr>
        <sz val="11"/>
        <color theme="1"/>
        <rFont val="Arial"/>
        <family val="2"/>
      </rPr>
      <t>)</t>
    </r>
  </si>
  <si>
    <t>Flush Rate
[Lpf]</t>
  </si>
  <si>
    <t>Install a water efficient irrigation system among the following:</t>
  </si>
  <si>
    <t>• Hand watering using a watering can or a nozzle to control the flow.</t>
  </si>
  <si>
    <t>Measures implemented for erosion control</t>
  </si>
  <si>
    <t>Measures implemented for sedimentation control</t>
  </si>
  <si>
    <t>Compliant heat pump water heating system?</t>
  </si>
  <si>
    <t>Note: At least, 2 different types of climate-adapted plants should be used.</t>
  </si>
  <si>
    <t>Water reused for irrigation ?</t>
  </si>
  <si>
    <t>Water reused for WC flushing ?</t>
  </si>
  <si>
    <t>Complete the information below on all the pot plants installed inside the house, on balconies and on the rooftop:</t>
  </si>
  <si>
    <t>Pot plant units are calculated based on the width at the opening of the pot in accordance with Table LE.5.</t>
  </si>
  <si>
    <r>
      <rPr>
        <i/>
        <sz val="10"/>
        <color rgb="FF76923C"/>
        <rFont val="Arial"/>
        <family val="2"/>
      </rPr>
      <t>Table LE.5</t>
    </r>
    <r>
      <rPr>
        <i/>
        <sz val="10"/>
        <color theme="1"/>
        <rFont val="Arial"/>
        <family val="2"/>
      </rPr>
      <t xml:space="preserve">: </t>
    </r>
    <r>
      <rPr>
        <i/>
        <sz val="10"/>
        <rFont val="Arial"/>
        <family val="2"/>
      </rPr>
      <t xml:space="preserve">Equivalence between plant unit number and width at the opening of the pot </t>
    </r>
  </si>
  <si>
    <r>
      <t>Total balconies area (m</t>
    </r>
    <r>
      <rPr>
        <vertAlign val="superscript"/>
        <sz val="10"/>
        <color theme="0"/>
        <rFont val="Arial"/>
        <family val="2"/>
      </rPr>
      <t>2</t>
    </r>
    <r>
      <rPr>
        <sz val="10"/>
        <color theme="0"/>
        <rFont val="Arial"/>
        <family val="2"/>
      </rPr>
      <t>)</t>
    </r>
  </si>
  <si>
    <r>
      <rPr>
        <b/>
        <sz val="10"/>
        <rFont val="Arial"/>
        <family val="2"/>
      </rPr>
      <t>Strategy B: Pot Plants</t>
    </r>
    <r>
      <rPr>
        <sz val="10"/>
        <rFont val="Arial"/>
        <family val="2"/>
      </rPr>
      <t xml:space="preserve">
For 1 point, provide 1 pot plant unit for every 10 m</t>
    </r>
    <r>
      <rPr>
        <vertAlign val="superscript"/>
        <sz val="10"/>
        <rFont val="Arial"/>
        <family val="2"/>
      </rPr>
      <t>2</t>
    </r>
    <r>
      <rPr>
        <sz val="10"/>
        <rFont val="Arial"/>
        <family val="2"/>
      </rPr>
      <t xml:space="preserve"> of GFA, balconies and rooftop area
For 2 points, provide 1 pot plant unit for every 5 m</t>
    </r>
    <r>
      <rPr>
        <vertAlign val="superscript"/>
        <sz val="10"/>
        <rFont val="Arial"/>
        <family val="2"/>
      </rPr>
      <t>2</t>
    </r>
    <r>
      <rPr>
        <sz val="10"/>
        <rFont val="Arial"/>
        <family val="2"/>
      </rPr>
      <t xml:space="preserve"> of GFA, balconies and rooftop area</t>
    </r>
  </si>
  <si>
    <t xml:space="preserve"> Number of Pot Plant units</t>
  </si>
  <si>
    <t>Install appropriate shading devices to limit solar heat gains through glazing:</t>
  </si>
  <si>
    <t>• double-glazed, low-solar-gain low-E glazing</t>
  </si>
  <si>
    <t>• Double-glazed, low-solar-gain low-E glazing also reduce solar heat gain while retaining a relatively high visible transmittance thanks to a low-E coating.</t>
  </si>
  <si>
    <t>• Open grid pavement systems to reduce paved areas (at least 50% pervious)</t>
  </si>
  <si>
    <t>LOTUS Homes Certification happens in the following steps:</t>
  </si>
  <si>
    <t>The Applicant fills in the User Tool to define the pathway/targets for the project and to understand all requirements for Certification.</t>
  </si>
  <si>
    <t>At Pre-assessment stage, the content of submissions is simplified to a minimum.</t>
  </si>
  <si>
    <t>Certain credits may be completed at this stage; however, most credits will require further documentation for Certification.</t>
  </si>
  <si>
    <t xml:space="preserve">Only few of the credits that will be targeted at Certification stage may be completed for Pre-assessment and no further documentation is required. </t>
  </si>
  <si>
    <r>
      <rPr>
        <b/>
        <sz val="11"/>
        <color rgb="FF943634"/>
        <rFont val="Calibri"/>
        <family val="2"/>
      </rPr>
      <t xml:space="preserve">→ </t>
    </r>
    <r>
      <rPr>
        <b/>
        <sz val="11"/>
        <color rgb="FF943634"/>
        <rFont val="Calibri"/>
        <family val="2"/>
        <scheme val="minor"/>
      </rPr>
      <t xml:space="preserve">No definitive score or Certification will be given at Pre-assessment stage. </t>
    </r>
  </si>
  <si>
    <t>VGBC strongly encourages the applicants to submit for this stage in order to have a successful Certification.</t>
  </si>
  <si>
    <t>Resources Folders</t>
  </si>
  <si>
    <t>This folder contains a few documents that are provided to the Applicant Representative:</t>
  </si>
  <si>
    <t xml:space="preserve">• LOTUS Calculator - OTTV Calculation. VGBC strongly encourages the use of this tool to perform the OTTV calculations necessary for E-BPC-1 OTTV calculation or to perform U-values calculations for E-2 Building Envelope – Performance Path. </t>
  </si>
  <si>
    <t>Building Structure Materials</t>
  </si>
  <si>
    <t>Flooring Materials</t>
  </si>
  <si>
    <t>Roofing Materials</t>
  </si>
  <si>
    <t>Windows and Doors</t>
  </si>
  <si>
    <r>
      <rPr>
        <b/>
        <sz val="10"/>
        <rFont val="Arial"/>
        <family val="2"/>
      </rPr>
      <t>Strategy A: Building Orientation</t>
    </r>
    <r>
      <rPr>
        <sz val="10"/>
        <rFont val="Arial"/>
        <family val="2"/>
      </rPr>
      <t xml:space="preserve">
For 1 point, east and west facades area is lower than 40% of the total facade area 
For 2 points, east and west facades area is lower than 20% of the total facade area </t>
    </r>
  </si>
  <si>
    <r>
      <rPr>
        <b/>
        <sz val="10"/>
        <rFont val="Arial"/>
        <family val="2"/>
      </rPr>
      <t>Strategy B: Window-to-wall ratio (WWR)</t>
    </r>
    <r>
      <rPr>
        <sz val="10"/>
        <rFont val="Arial"/>
        <family val="2"/>
      </rPr>
      <t xml:space="preserve">
For 1 point, WWR of the east and west facades is lower than 30%
For 2 points, WWR of the east and west facades is lower than 15%</t>
    </r>
  </si>
  <si>
    <r>
      <rPr>
        <b/>
        <sz val="10"/>
        <rFont val="Arial"/>
        <family val="2"/>
      </rPr>
      <t>Strategy C: Solar radiation through windows</t>
    </r>
    <r>
      <rPr>
        <sz val="10"/>
        <rFont val="Arial"/>
        <family val="2"/>
      </rPr>
      <t xml:space="preserve">
All the glazing systems installed are any of the following: 
solar control glass or low solar heat gain low-E double glazing</t>
    </r>
  </si>
  <si>
    <t>Solid roof surface type</t>
  </si>
  <si>
    <t>Solid wall surface type</t>
  </si>
  <si>
    <t>Limit solar radiation?</t>
  </si>
  <si>
    <t xml:space="preserve">For 1 point, all air-conditioners have at least 3 stars in the energy labelling program of VNEEP </t>
  </si>
  <si>
    <t xml:space="preserve">For 2 points, all air-conditioners have at least 4 stars in the energy labelling program of VNEEP </t>
  </si>
  <si>
    <t xml:space="preserve">For 3 points, all air-conditioners have 5 stars in the energy labelling program of VNEEP </t>
  </si>
  <si>
    <r>
      <rPr>
        <b/>
        <sz val="10"/>
        <rFont val="Arial"/>
        <family val="2"/>
      </rPr>
      <t xml:space="preserve">Option A: Solar water heating </t>
    </r>
    <r>
      <rPr>
        <sz val="10"/>
        <rFont val="Arial"/>
        <family val="2"/>
      </rPr>
      <t xml:space="preserve">
A solar thermal system produces the domestic hot water</t>
    </r>
  </si>
  <si>
    <r>
      <rPr>
        <b/>
        <sz val="10"/>
        <rFont val="Arial"/>
        <family val="2"/>
      </rPr>
      <t>Option B: Heat pump water heating</t>
    </r>
    <r>
      <rPr>
        <sz val="10"/>
        <rFont val="Arial"/>
        <family val="2"/>
      </rPr>
      <t xml:space="preserve">
A heat pump water heater produces all the domestic hot water consumptio</t>
    </r>
    <r>
      <rPr>
        <sz val="11"/>
        <rFont val="Arial"/>
        <family val="2"/>
      </rPr>
      <t>n</t>
    </r>
  </si>
  <si>
    <r>
      <rPr>
        <b/>
        <sz val="10"/>
        <rFont val="Arial"/>
        <family val="2"/>
      </rPr>
      <t>E-BPC-2 Renewable Energy</t>
    </r>
    <r>
      <rPr>
        <sz val="10"/>
        <rFont val="Arial"/>
        <family val="2"/>
      </rPr>
      <t xml:space="preserve">
For 1 point, install a renewable electricity generation system with a power output of more than 1 kW
For 2 points, install a renewable electricity generation system with a power output of more than 2 kW
For 3 points, install a renewable electricity generation system with a power output of more than 3 kW</t>
    </r>
  </si>
  <si>
    <r>
      <t>VBEEC average building OTTV (W/m</t>
    </r>
    <r>
      <rPr>
        <vertAlign val="superscript"/>
        <sz val="10"/>
        <color indexed="9"/>
        <rFont val="Arial"/>
        <family val="2"/>
      </rPr>
      <t>2</t>
    </r>
    <r>
      <rPr>
        <sz val="10"/>
        <color indexed="9"/>
        <rFont val="Arial"/>
        <family val="2"/>
      </rPr>
      <t>)</t>
    </r>
  </si>
  <si>
    <r>
      <t>Building’s average OTTV (W/m</t>
    </r>
    <r>
      <rPr>
        <vertAlign val="superscript"/>
        <sz val="10"/>
        <color indexed="9"/>
        <rFont val="Arial"/>
        <family val="2"/>
      </rPr>
      <t>2</t>
    </r>
    <r>
      <rPr>
        <sz val="10"/>
        <color indexed="9"/>
        <rFont val="Arial"/>
        <family val="2"/>
      </rPr>
      <t>)</t>
    </r>
  </si>
  <si>
    <t>M-1 Building Structure Materials</t>
  </si>
  <si>
    <t>M-2 Non-structural Walls</t>
  </si>
  <si>
    <t>M-3 Windows and Doors</t>
  </si>
  <si>
    <t>M-4 Flooring Materials</t>
  </si>
  <si>
    <t>M-5 Roofing Materials</t>
  </si>
  <si>
    <t>Sustainable non-structural walls  [%]</t>
  </si>
  <si>
    <t>Sustainable flooring materials [%]</t>
  </si>
  <si>
    <t>E-5 Water Heating</t>
  </si>
  <si>
    <t>Sustainable roofing materials [%]</t>
  </si>
  <si>
    <t xml:space="preserve">For 1 point, 40% of the roofing materials are sustainable 
For 2 points, 80% of the roofing materials are sustainable </t>
  </si>
  <si>
    <t>Select and install sustainable roofing materials</t>
  </si>
  <si>
    <t>The following roofing materials are considered as sustainable:</t>
  </si>
  <si>
    <t>Calculation is based on the area of roofing items.</t>
  </si>
  <si>
    <t>The area of a roofing item is equal to the total length of the item multiplied by its total height.</t>
  </si>
  <si>
    <t>Roof covering, roof sheathing and roof sunshade areas must be considered. Then, the total area of roofing items may be higher than the roof area.</t>
  </si>
  <si>
    <t>Complete the table below with information on all the roofing items installed in the project</t>
  </si>
  <si>
    <t>Roofing items</t>
  </si>
  <si>
    <r>
      <t>Area of sustainable roofing items (m</t>
    </r>
    <r>
      <rPr>
        <vertAlign val="superscript"/>
        <sz val="11"/>
        <color theme="0"/>
        <rFont val="Arial"/>
        <family val="2"/>
      </rPr>
      <t>2</t>
    </r>
    <r>
      <rPr>
        <sz val="11"/>
        <color theme="0"/>
        <rFont val="Arial"/>
        <family val="2"/>
      </rPr>
      <t>)</t>
    </r>
  </si>
  <si>
    <r>
      <t>Total area of roofing items (m</t>
    </r>
    <r>
      <rPr>
        <vertAlign val="superscript"/>
        <sz val="11"/>
        <color theme="0"/>
        <rFont val="Arial"/>
        <family val="2"/>
      </rPr>
      <t>2</t>
    </r>
    <r>
      <rPr>
        <sz val="11"/>
        <color theme="0"/>
        <rFont val="Arial"/>
        <family val="2"/>
      </rPr>
      <t>)</t>
    </r>
  </si>
  <si>
    <r>
      <t>Example: With a roof area of 20 m</t>
    </r>
    <r>
      <rPr>
        <i/>
        <vertAlign val="superscript"/>
        <sz val="10"/>
        <rFont val="Arial"/>
        <family val="2"/>
      </rPr>
      <t>2</t>
    </r>
    <r>
      <rPr>
        <i/>
        <sz val="10"/>
        <rFont val="Arial"/>
        <family val="2"/>
      </rPr>
      <t xml:space="preserve"> covered by a plywood sheathing and ceramic tiles: a total of 40 m</t>
    </r>
    <r>
      <rPr>
        <i/>
        <vertAlign val="superscript"/>
        <sz val="10"/>
        <rFont val="Arial"/>
        <family val="2"/>
      </rPr>
      <t>2</t>
    </r>
    <r>
      <rPr>
        <i/>
        <sz val="10"/>
        <rFont val="Arial"/>
        <family val="2"/>
      </rPr>
      <t xml:space="preserve"> would be entered in the table below.</t>
    </r>
  </si>
  <si>
    <t>• Photographs showing all operable wall and roof openings</t>
  </si>
  <si>
    <t xml:space="preserve">For 1 point, 50% of the net habitable area achieves a daylight factor of 1% or greater 
For 2 points, 70% of the net habitable area achieves a daylight factor of 1% or greater
For 3 points, 90% of the net habitable area achieves a daylight factor of 1% or greater </t>
  </si>
  <si>
    <t>Habitable space name</t>
  </si>
  <si>
    <t>• Photographs showing habitable spaces with natural lighting</t>
  </si>
  <si>
    <t>If the sidelit daylit area and the skylit daylit area are overlapping, the overlapping area should be considered only once.</t>
  </si>
  <si>
    <t>Complete the Table below for all the habitable spaces of the house (kitchens, living/dining rooms, bedrooms and study rooms):</t>
  </si>
  <si>
    <r>
      <rPr>
        <b/>
        <sz val="10"/>
        <color rgb="FF943634"/>
        <rFont val="Arial"/>
        <family val="2"/>
      </rPr>
      <t>Habitable spaces</t>
    </r>
    <r>
      <rPr>
        <sz val="10"/>
        <rFont val="Arial"/>
        <family val="2"/>
      </rPr>
      <t xml:space="preserve"> - In a residential building, habitable spaces include kitchen, living room, dining room, bedroom and study but exclude bathrooms, storage, and utility spaces. All habitable spaces are considered occupied spaces. </t>
    </r>
  </si>
  <si>
    <r>
      <rPr>
        <b/>
        <sz val="10"/>
        <color rgb="FF943634"/>
        <rFont val="Arial"/>
        <family val="2"/>
      </rPr>
      <t>Net Habitable Area</t>
    </r>
    <r>
      <rPr>
        <sz val="10"/>
        <rFont val="Arial"/>
        <family val="2"/>
      </rPr>
      <t xml:space="preserve"> - The total area of all the habitable spaces in a building.</t>
    </r>
  </si>
  <si>
    <r>
      <rPr>
        <b/>
        <sz val="10"/>
        <color rgb="FF943634"/>
        <rFont val="Arial"/>
        <family val="2"/>
      </rPr>
      <t>LOTUS Accredited Professional</t>
    </r>
    <r>
      <rPr>
        <sz val="10"/>
        <rFont val="Arial"/>
        <family val="2"/>
      </rPr>
      <t xml:space="preserve"> - The LOTUS Accredited Professional or LOTUS AP has undergone training and successfully passed the LOTUS Rating System examination. Upon Accreditation, the LOTUS AP is then deemed qualified to work either as an internal or external resource within a LOTUS project.</t>
    </r>
  </si>
  <si>
    <r>
      <rPr>
        <b/>
        <sz val="10"/>
        <color rgb="FF943634"/>
        <rFont val="Arial"/>
        <family val="2"/>
      </rPr>
      <t>LOTUS Technical Manual</t>
    </r>
    <r>
      <rPr>
        <sz val="10"/>
        <rFont val="Arial"/>
        <family val="2"/>
      </rPr>
      <t xml:space="preserve"> - The LOTUS Technical Manual is a user’s guide to attaining the LOTUS Certificate. It provides technical guidance for all LOTUS Credits in order for users to understand intents, requirements, approaches and implementations, calculations and submissions.</t>
    </r>
  </si>
  <si>
    <r>
      <rPr>
        <b/>
        <sz val="10"/>
        <color rgb="FF943634"/>
        <rFont val="Arial"/>
        <family val="2"/>
      </rPr>
      <t>LOTUS Certified Rating</t>
    </r>
    <r>
      <rPr>
        <sz val="10"/>
        <rFont val="Arial"/>
        <family val="2"/>
      </rPr>
      <t xml:space="preserve"> - The LOTUS Certified Rating is the result obtained after Submission has been assessed at Certification stage by the VGBC Representative. A project can achieved 4 levels of certification, LOTUS Certified, LOTUS Silver, LOTUS Gold or LOTUS Platinum.</t>
    </r>
  </si>
  <si>
    <r>
      <rPr>
        <b/>
        <sz val="10"/>
        <rFont val="Arial"/>
        <family val="2"/>
      </rPr>
      <t>Strategy D: Community Connectivity</t>
    </r>
    <r>
      <rPr>
        <sz val="10"/>
        <rFont val="Arial"/>
        <family val="2"/>
      </rPr>
      <t xml:space="preserve"> 
There are at least 5 different types of basic services within a 0.5 km radius of the site</t>
    </r>
  </si>
  <si>
    <t xml:space="preserve">Beauty/Hairdresser </t>
  </si>
  <si>
    <t xml:space="preserve">Cleaners </t>
  </si>
  <si>
    <t xml:space="preserve">Community centre </t>
  </si>
  <si>
    <t>Building located close to various basic services?</t>
  </si>
  <si>
    <t>Electronic /Vehicle Repair Shops</t>
  </si>
  <si>
    <t>Fitness center/Sport center/Swimming pool</t>
  </si>
  <si>
    <t xml:space="preserve">Fire station </t>
  </si>
  <si>
    <t xml:space="preserve">Petrol Station </t>
  </si>
  <si>
    <t xml:space="preserve">Laundry </t>
  </si>
  <si>
    <t xml:space="preserve">Library </t>
  </si>
  <si>
    <t xml:space="preserve">Hospital/Clinic/Dental/Optician </t>
  </si>
  <si>
    <t xml:space="preserve">Museum </t>
  </si>
  <si>
    <t xml:space="preserve">Playground/Park </t>
  </si>
  <si>
    <t>Pharmacy</t>
  </si>
  <si>
    <t xml:space="preserve">Place of worship </t>
  </si>
  <si>
    <t>Police station</t>
  </si>
  <si>
    <t xml:space="preserve">Post Office </t>
  </si>
  <si>
    <t>Art/Entertainment center</t>
  </si>
  <si>
    <t>Bookstore</t>
  </si>
  <si>
    <t>Wet market</t>
  </si>
  <si>
    <t>• Map or plan indicating position of at least 5 different types of basic services located within a 0.5 km radius of the site</t>
  </si>
  <si>
    <t>Complete the Table below with information on 5 different types of basic services located within a 0.5 km radius of the building:</t>
  </si>
  <si>
    <t>Day care</t>
  </si>
  <si>
    <t>Convenience grocery</t>
  </si>
  <si>
    <t xml:space="preserve">ATM </t>
  </si>
  <si>
    <t>Restaurant/Coffee shop</t>
  </si>
  <si>
    <t>School</t>
  </si>
  <si>
    <t>Senior care facility</t>
  </si>
  <si>
    <t>Supermarket</t>
  </si>
  <si>
    <t>Complete the information below:</t>
  </si>
  <si>
    <t>Technical terms</t>
  </si>
  <si>
    <t>Specific LOTUS terms</t>
  </si>
  <si>
    <t>Master Plan terms</t>
  </si>
  <si>
    <r>
      <t>Other built structures area (m</t>
    </r>
    <r>
      <rPr>
        <vertAlign val="superscript"/>
        <sz val="10"/>
        <color theme="0"/>
        <rFont val="Arial"/>
        <family val="2"/>
      </rPr>
      <t>2</t>
    </r>
    <r>
      <rPr>
        <sz val="10"/>
        <color theme="0"/>
        <rFont val="Arial"/>
        <family val="2"/>
      </rPr>
      <t>)</t>
    </r>
  </si>
  <si>
    <t>Maximize the undeveloped site area.</t>
  </si>
  <si>
    <t>Undeveloped site area [%]</t>
  </si>
  <si>
    <t>• Site master plan (can be a sketch drawn by hand) showing the building footprint and other built structures</t>
  </si>
  <si>
    <r>
      <rPr>
        <b/>
        <sz val="10"/>
        <rFont val="Arial"/>
        <family val="2"/>
      </rPr>
      <t>Strategy B: Undeveloped Site Area</t>
    </r>
    <r>
      <rPr>
        <sz val="10"/>
        <rFont val="Arial"/>
        <family val="2"/>
      </rPr>
      <t xml:space="preserve">
At least 20% of the site area is undeveloped (has no buildings or other built structures)</t>
    </r>
  </si>
  <si>
    <t>SRI</t>
  </si>
  <si>
    <t>Gray EPDM</t>
  </si>
  <si>
    <t xml:space="preserve">White EPDM  </t>
  </si>
  <si>
    <t>Roofing Membranes</t>
  </si>
  <si>
    <t>Metal Roofing</t>
  </si>
  <si>
    <t>New, bare galvanized steel</t>
  </si>
  <si>
    <t xml:space="preserve">Aluminum              </t>
  </si>
  <si>
    <t xml:space="preserve">White coating on metal roof    </t>
  </si>
  <si>
    <t>Asphalt Shingles</t>
  </si>
  <si>
    <t>Coatings</t>
  </si>
  <si>
    <t>http://energy.lbl.gov/coolroof/</t>
  </si>
  <si>
    <t>Generic Grey asphalt shingle</t>
  </si>
  <si>
    <t>Generic White asphalt shingle</t>
  </si>
  <si>
    <t>White concrete tile</t>
  </si>
  <si>
    <t>Unpainted cement tile</t>
  </si>
  <si>
    <t>Red clay tile</t>
  </si>
  <si>
    <t>White Granular Surface Bitumen</t>
  </si>
  <si>
    <t>Light gravel on built-up roof</t>
  </si>
  <si>
    <t>White-coated gravel on built-up roof</t>
  </si>
  <si>
    <t>Tile</t>
  </si>
  <si>
    <t>White Coating (1 coat, 8 mils)</t>
  </si>
  <si>
    <t>White Coating (2 coats, 20 mils)</t>
  </si>
  <si>
    <t>Example of generic roofing materials</t>
  </si>
  <si>
    <t>Source: Values extracted from Cool Roofing Materials Database, Lawrence Berkeley National Laboratory, Berkeley Laboratory's Energy Technologies Area</t>
  </si>
  <si>
    <t xml:space="preserve">Note: This sheet provides further advice for projects undergoing LOTUS Homes Certification. </t>
  </si>
  <si>
    <t>Acknowledgments</t>
  </si>
  <si>
    <t>General</t>
  </si>
  <si>
    <t>The VGBC is indebted to the Green Building Council Australia (GBCA) for its assistance, and also thank the US Green Building Council and the World Green Building Council and its Asia Pacific Network.</t>
  </si>
  <si>
    <t>Authors and contributors</t>
  </si>
  <si>
    <t xml:space="preserve">The VGBC would like to thank all the members of the technical advisory group for their continued help and support. Their dedication to a sustainable, climate change adapted built environment for Vietnam is essential to the accomplishment of the VGBC’s goals and objectives. </t>
  </si>
  <si>
    <t xml:space="preserve">The VGBC would also like to thank all staff and volunteers who have contributed to the development of LOTUS. In performing their unsung work, they have laid the groundwork for a fundamental shift toward sustainability in Vietnam’s built environment. </t>
  </si>
  <si>
    <t>VGBC is grateful to the Global Cities Institute of the Royal Melbourne Institute of Technology (RMIT), which provided major funding at its inception.</t>
  </si>
  <si>
    <t xml:space="preserve">Lead Authors </t>
  </si>
  <si>
    <t xml:space="preserve">Samantha Miller, Xavier Leulliette </t>
  </si>
  <si>
    <r>
      <t>Supporting Authors</t>
    </r>
    <r>
      <rPr>
        <sz val="11"/>
        <color rgb="FF58B527"/>
        <rFont val="Arial"/>
        <family val="2"/>
      </rPr>
      <t xml:space="preserve"> </t>
    </r>
  </si>
  <si>
    <t>Hugo Fontourcy, Melissa Merryweather, Vũ Hồng Phong</t>
  </si>
  <si>
    <t xml:space="preserve">Contributors </t>
  </si>
  <si>
    <t>Charles Gallavardin, Dung Thanh Nguyen , Ho Minh Nhat, Nguyen Chi Tam, Nguyen Duc An, Nguyen Van Muon, Nicolas Jallade, Patrick Bivona, Phạm Hoàng Trung, Tim Middleton, Yannick Millet</t>
  </si>
  <si>
    <t>We extend our thanks to all the authors and contributors who participated in the development of the other LOTUS Rating Systems.</t>
  </si>
  <si>
    <t>VGBC Members</t>
  </si>
  <si>
    <t>Regular Members</t>
  </si>
  <si>
    <t>Archetype Vietnam Ltd</t>
  </si>
  <si>
    <t>B+H Architects Vietnam</t>
  </si>
  <si>
    <t>Bry-Air Malaysia</t>
  </si>
  <si>
    <t>Cat Tuong</t>
  </si>
  <si>
    <t>CBRE Vietnam</t>
  </si>
  <si>
    <t>Deutsche Bekleidungswerke Limited</t>
  </si>
  <si>
    <t>Dragon Capital</t>
  </si>
  <si>
    <t>Indochine Engineering</t>
  </si>
  <si>
    <t>InterfaceFLOR</t>
  </si>
  <si>
    <t>Lap Nguyen Corporation</t>
  </si>
  <si>
    <t>OUT-2 Design</t>
  </si>
  <si>
    <t>Quoc Viet Technology JSC</t>
  </si>
  <si>
    <t xml:space="preserve">RCR infrastructure Vietnam </t>
  </si>
  <si>
    <t xml:space="preserve">Sonacons Construction JSC </t>
  </si>
  <si>
    <t xml:space="preserve">TTT Architects </t>
  </si>
  <si>
    <t xml:space="preserve">Tuan Le Construction Co. Ltd </t>
  </si>
  <si>
    <t xml:space="preserve">Unicons </t>
  </si>
  <si>
    <t>• Photographs showing the compost bin and the compost being used for landscaping</t>
  </si>
  <si>
    <t>Character of surface</t>
  </si>
  <si>
    <t>Runoff Coefficient</t>
  </si>
  <si>
    <t>Pavement</t>
  </si>
  <si>
    <t>Roofs</t>
  </si>
  <si>
    <t>Asphalt</t>
  </si>
  <si>
    <t>Brick pavers</t>
  </si>
  <si>
    <t>Concrete</t>
  </si>
  <si>
    <t>Gravel (unbound) </t>
  </si>
  <si>
    <t>Permeable pavers </t>
  </si>
  <si>
    <t>Lawns (Sandy soil)</t>
  </si>
  <si>
    <t>Lawns (Heavy soil)</t>
  </si>
  <si>
    <t>Average slope 0-2%</t>
  </si>
  <si>
    <t>Average slope 2-7%</t>
  </si>
  <si>
    <t>Average slope &gt; 7%</t>
  </si>
  <si>
    <t xml:space="preserve">Garden bed/rain garden </t>
  </si>
  <si>
    <t>Others</t>
  </si>
  <si>
    <t>Playgrounds</t>
  </si>
  <si>
    <t>Source: Data coming from American Society of Civil Engineers and TCVN 7957:2008</t>
  </si>
  <si>
    <t xml:space="preserve">More values can be found at this link: </t>
  </si>
  <si>
    <t>In researching and developing the LOTUS Certification system, the Vietnam Green Building Council (VGBC) conducted a survey of all the world’s significant green building rating systems. Several became focal points from which the VGBC has taken inspiration to design LOTUS. These are Australia’s Green Star, the USA’s LEED and Malaysia’s GBI rating systems and to a lesser extent, Britain’s BREEAM, Hong Kong’s BEAM Plus, Indonesia’s Greenship and Singapore’s Green Mark systems.</t>
  </si>
  <si>
    <t xml:space="preserve">Low-VOC Emissions </t>
  </si>
  <si>
    <t>Submitted?</t>
  </si>
  <si>
    <t>Name of the document(s)</t>
  </si>
  <si>
    <t>Submit all the documentation listed below at Certification Stage:</t>
  </si>
  <si>
    <t>Click on the links on 
the right to navigate to 
other Water credits</t>
  </si>
  <si>
    <r>
      <t>Average U-value of the walls and roofs (W/m</t>
    </r>
    <r>
      <rPr>
        <vertAlign val="superscript"/>
        <sz val="11"/>
        <color theme="0"/>
        <rFont val="Arial"/>
        <family val="2"/>
      </rPr>
      <t>2</t>
    </r>
    <r>
      <rPr>
        <sz val="11"/>
        <color theme="0"/>
        <rFont val="Arial"/>
        <family val="2"/>
      </rPr>
      <t>.K)</t>
    </r>
  </si>
  <si>
    <t>Complete the Tables below with information on all the glazing:</t>
  </si>
  <si>
    <t>Click on the links on 
the right to navigate to 
other Materials credits</t>
  </si>
  <si>
    <t>Click on the links on 
the right to navigate 
to other LE credits</t>
  </si>
  <si>
    <t>Submitted</t>
  </si>
  <si>
    <t>Click on the links on 
the right to navigate 
to other C&amp;M credits</t>
  </si>
  <si>
    <t>Bambubuild</t>
  </si>
  <si>
    <t>PALM Landscape</t>
  </si>
  <si>
    <t>Platinum Members</t>
  </si>
  <si>
    <t>Gold Members</t>
  </si>
  <si>
    <t>Silver Members</t>
  </si>
  <si>
    <t>For 1 point, 50% of all the habitable spaces have a daylit zone area of more than 75% of their floor area
For 2 points, 70% of all the habitable spaces have a daylit zone area of more than 75% of their floor area
For 3 points, 90% of all the habitable spaces have a daylit zone area of more than 75% of their floor area</t>
  </si>
  <si>
    <t>Design habitable spaces with a daylit zone area of more than 75% of their floor area</t>
  </si>
  <si>
    <r>
      <rPr>
        <b/>
        <sz val="10"/>
        <rFont val="Arial"/>
        <family val="2"/>
      </rPr>
      <t>Exception:</t>
    </r>
    <r>
      <rPr>
        <sz val="10"/>
        <rFont val="Arial"/>
        <family val="2"/>
      </rPr>
      <t xml:space="preserve"> Baked materials such as clay bricks cannot be considered as sustainable materials unless they are reused materials.</t>
    </r>
  </si>
  <si>
    <t>Local Material (not a baked material)</t>
  </si>
  <si>
    <t>• LOTUS Homes V1 - User Tool</t>
  </si>
  <si>
    <t>LOTUS Homes V1 Scorecard</t>
  </si>
  <si>
    <r>
      <t>³</t>
    </r>
    <r>
      <rPr>
        <sz val="10"/>
        <color theme="1"/>
        <rFont val="Arial"/>
        <family val="2"/>
      </rPr>
      <t xml:space="preserve"> 70 kW to &lt; 117 kW</t>
    </r>
  </si>
  <si>
    <r>
      <t>³</t>
    </r>
    <r>
      <rPr>
        <sz val="10"/>
        <color theme="1"/>
        <rFont val="Arial"/>
        <family val="2"/>
      </rPr>
      <t xml:space="preserve"> 117 kW</t>
    </r>
  </si>
  <si>
    <t>If the building has no glazing areas on north and south orientations, no point can be earned for installing appropriate shading devices on windows of the north and south facades.</t>
  </si>
  <si>
    <t>If the building has no glazing areas on east and west orientations, no point can be earned for installing appropriate shading devices on windows of the east and west facades.</t>
  </si>
  <si>
    <t>Calculation of A coefficient for external shading devices</t>
  </si>
  <si>
    <r>
      <rPr>
        <b/>
        <sz val="10"/>
        <rFont val="Arial"/>
        <family val="2"/>
      </rPr>
      <t>SHGC (Solar Heat Gain Coefficient)</t>
    </r>
    <r>
      <rPr>
        <sz val="10"/>
        <rFont val="Arial"/>
        <family val="2"/>
      </rPr>
      <t xml:space="preserve"> – The SHGC of a glass is the percent of solar energy incident on the glass that is transferred indoors both directly and indirectly through the glass.</t>
    </r>
  </si>
  <si>
    <r>
      <rPr>
        <b/>
        <sz val="10"/>
        <rFont val="Arial"/>
        <family val="2"/>
      </rPr>
      <t>A coefficient</t>
    </r>
    <r>
      <rPr>
        <sz val="10"/>
        <rFont val="Arial"/>
        <family val="2"/>
      </rPr>
      <t xml:space="preserve"> – It could be defined as "Shading coefficient" or "radiation reduction factor". It is a dimensionless parameter that represents the reduced radiation through the glass achieved by the use of shading devices. For horizontal and vertical sunshades, use Tables 2.4 and 2.5 of QCVN 09:2013 (available in the sheet 'Resources') to determine the A coefficient. For glazing areas shaded by vegetation, estimate how many percent of solar energy will not strike the window thanks to vegetation to calculate the A coefficient, this will be subject to VGBC approval.</t>
    </r>
  </si>
  <si>
    <t>North and south orientations:</t>
  </si>
  <si>
    <r>
      <rPr>
        <sz val="10"/>
        <rFont val="Calibri"/>
        <family val="2"/>
      </rPr>
      <t xml:space="preserve">• </t>
    </r>
    <r>
      <rPr>
        <sz val="10"/>
        <rFont val="Arial"/>
        <family val="2"/>
      </rPr>
      <t xml:space="preserve"> install vegetation covering the whole glazing area</t>
    </r>
  </si>
  <si>
    <r>
      <rPr>
        <sz val="10"/>
        <rFont val="Calibri"/>
        <family val="2"/>
      </rPr>
      <t xml:space="preserve">• </t>
    </r>
    <r>
      <rPr>
        <sz val="10"/>
        <rFont val="Arial"/>
        <family val="2"/>
      </rPr>
      <t>install full-height louvered screen (with horizontal or vertical fins), or</t>
    </r>
  </si>
  <si>
    <t>East and west orientations:</t>
  </si>
  <si>
    <r>
      <rPr>
        <sz val="10"/>
        <rFont val="Calibri"/>
        <family val="2"/>
      </rPr>
      <t xml:space="preserve">• </t>
    </r>
    <r>
      <rPr>
        <sz val="10"/>
        <rFont val="Arial"/>
        <family val="2"/>
      </rPr>
      <t>install horizontal overhangs that achieves a value of A coefficient higher than 1.3 (Table 2.4 of QCVN 09:2013 - VBEEC), or</t>
    </r>
  </si>
  <si>
    <t>Complete the Table below with information on windows located on the north and south facades:</t>
  </si>
  <si>
    <t>Shading device installed</t>
  </si>
  <si>
    <t>Compliant ?</t>
  </si>
  <si>
    <t>% of compliant shading devices</t>
  </si>
  <si>
    <t>Complete the Table below with information on windows located on the east and west facades:</t>
  </si>
  <si>
    <t>Glazing type</t>
  </si>
  <si>
    <t>Horizontal sunshades:</t>
  </si>
  <si>
    <t>E</t>
  </si>
  <si>
    <t>SW</t>
  </si>
  <si>
    <t>W</t>
  </si>
  <si>
    <t>R high</t>
  </si>
  <si>
    <t>A low</t>
  </si>
  <si>
    <t>A high</t>
  </si>
  <si>
    <t>A</t>
  </si>
  <si>
    <t>b - reach of sunshade</t>
  </si>
  <si>
    <t>H - window height</t>
  </si>
  <si>
    <t xml:space="preserve">d </t>
  </si>
  <si>
    <t>d/H</t>
  </si>
  <si>
    <t>A coefficient</t>
  </si>
  <si>
    <t>R low</t>
  </si>
  <si>
    <t>Vertical sunshades:</t>
  </si>
  <si>
    <t>B - window width</t>
  </si>
  <si>
    <t>e</t>
  </si>
  <si>
    <t>R=b/B</t>
  </si>
  <si>
    <t>e/B</t>
  </si>
  <si>
    <r>
      <rPr>
        <b/>
        <sz val="10"/>
        <color rgb="FF943634"/>
        <rFont val="Arial"/>
        <family val="2"/>
      </rPr>
      <t>SHGC (Solar Heat Gain Coefficient)</t>
    </r>
    <r>
      <rPr>
        <sz val="10"/>
        <color rgb="FF58AB27"/>
        <rFont val="Arial"/>
        <family val="2"/>
      </rPr>
      <t xml:space="preserve"> </t>
    </r>
    <r>
      <rPr>
        <sz val="10"/>
        <color theme="1"/>
        <rFont val="Arial"/>
        <family val="2"/>
      </rPr>
      <t>- The SHGC of a glass is the percent of solar energy incident on the glass that is transferred indoors both directly and indirectly through the glass.</t>
    </r>
  </si>
  <si>
    <r>
      <t xml:space="preserve">Once the application form has been confirmed as complete, a </t>
    </r>
    <r>
      <rPr>
        <b/>
        <sz val="11"/>
        <color rgb="FF943634"/>
        <rFont val="Calibri"/>
        <family val="2"/>
        <scheme val="minor"/>
      </rPr>
      <t>Certification Agreement</t>
    </r>
    <r>
      <rPr>
        <sz val="11"/>
        <color theme="1"/>
        <rFont val="Calibri"/>
        <family val="2"/>
        <scheme val="minor"/>
      </rPr>
      <t xml:space="preserve"> with all necessary terms and conditions will be signed by both the Applicant and the Assessment Organization. At this point, the Applicant is to nominate an </t>
    </r>
    <r>
      <rPr>
        <b/>
        <sz val="11"/>
        <color rgb="FF943634"/>
        <rFont val="Calibri"/>
        <family val="2"/>
        <scheme val="minor"/>
      </rPr>
      <t>Applicant Representative</t>
    </r>
    <r>
      <rPr>
        <sz val="11"/>
        <color rgb="FF76923C"/>
        <rFont val="Calibri"/>
        <family val="2"/>
        <scheme val="minor"/>
      </rPr>
      <t xml:space="preserve"> </t>
    </r>
    <r>
      <rPr>
        <sz val="11"/>
        <color theme="1"/>
        <rFont val="Calibri"/>
        <family val="2"/>
        <scheme val="minor"/>
      </rPr>
      <t>for the duration of the project that will be the primary contact for the Assessment Organization.</t>
    </r>
  </si>
  <si>
    <r>
      <t xml:space="preserve">The first step to gain LOTUS Certification is to apply and register the project with the </t>
    </r>
    <r>
      <rPr>
        <b/>
        <sz val="11"/>
        <color rgb="FF943634"/>
        <rFont val="Calibri"/>
        <family val="2"/>
        <scheme val="minor"/>
      </rPr>
      <t>Assessment Organization</t>
    </r>
    <r>
      <rPr>
        <sz val="11"/>
        <color rgb="FF943634"/>
        <rFont val="Calibri"/>
        <family val="2"/>
        <scheme val="minor"/>
      </rPr>
      <t>.</t>
    </r>
    <r>
      <rPr>
        <sz val="11"/>
        <color theme="1"/>
        <rFont val="Calibri"/>
        <family val="2"/>
        <scheme val="minor"/>
      </rPr>
      <t xml:space="preserve"> This should be done at the earliest stage possible as the implementation of “green” strategies is most effective when they are considered early in the planning and design stage.</t>
    </r>
  </si>
  <si>
    <r>
      <rPr>
        <b/>
        <sz val="11"/>
        <color rgb="FF943634"/>
        <rFont val="Calibri"/>
        <family val="2"/>
        <scheme val="minor"/>
      </rPr>
      <t>Applicants</t>
    </r>
    <r>
      <rPr>
        <sz val="11"/>
        <color theme="1"/>
        <rFont val="Calibri"/>
        <family val="2"/>
        <scheme val="minor"/>
      </rPr>
      <t xml:space="preserve"> must complete the </t>
    </r>
    <r>
      <rPr>
        <b/>
        <sz val="11"/>
        <color rgb="FF943634"/>
        <rFont val="Calibri"/>
        <family val="2"/>
        <scheme val="minor"/>
      </rPr>
      <t>Application Form</t>
    </r>
    <r>
      <rPr>
        <sz val="11"/>
        <color theme="1"/>
        <rFont val="Calibri"/>
        <family val="2"/>
        <scheme val="minor"/>
      </rPr>
      <t xml:space="preserve"> (included in this User Tool), print it, sign it and submit it to the </t>
    </r>
    <r>
      <rPr>
        <b/>
        <sz val="11"/>
        <color theme="1"/>
        <rFont val="Calibri"/>
        <family val="2"/>
        <scheme val="minor"/>
      </rPr>
      <t>VGBC</t>
    </r>
    <r>
      <rPr>
        <sz val="11"/>
        <color theme="1"/>
        <rFont val="Calibri"/>
        <family val="2"/>
        <scheme val="minor"/>
      </rPr>
      <t xml:space="preserve">. 
On receipt of the Application Form, the Assessment Organization will check that it is complete and all supporting information has been provided. </t>
    </r>
  </si>
  <si>
    <r>
      <t>On receipt of the signed copy of th</t>
    </r>
    <r>
      <rPr>
        <sz val="11"/>
        <rFont val="Calibri"/>
        <family val="2"/>
        <scheme val="minor"/>
      </rPr>
      <t>e Certification Agreement,</t>
    </r>
    <r>
      <rPr>
        <sz val="11"/>
        <color theme="1"/>
        <rFont val="Calibri"/>
        <family val="2"/>
        <scheme val="minor"/>
      </rPr>
      <t xml:space="preserve"> an </t>
    </r>
    <r>
      <rPr>
        <b/>
        <sz val="11"/>
        <color rgb="FF943634"/>
        <rFont val="Calibri"/>
        <family val="2"/>
        <scheme val="minor"/>
      </rPr>
      <t>Assessment Fee</t>
    </r>
    <r>
      <rPr>
        <sz val="11"/>
        <color theme="1"/>
        <rFont val="Calibri"/>
        <family val="2"/>
        <scheme val="minor"/>
      </rPr>
      <t xml:space="preserve"> will be invoiced and must be paid prior to any submission of documentation. The project registration is complete when the Assessment Fee is paid. The Applicant will then be issued with a </t>
    </r>
    <r>
      <rPr>
        <b/>
        <sz val="11"/>
        <color rgb="FF943634"/>
        <rFont val="Calibri"/>
        <family val="2"/>
        <scheme val="minor"/>
      </rPr>
      <t>Project Identification Number (PIN)</t>
    </r>
    <r>
      <rPr>
        <sz val="11"/>
        <color rgb="FF76923C"/>
        <rFont val="Calibri"/>
        <family val="2"/>
        <scheme val="minor"/>
      </rPr>
      <t xml:space="preserve"> </t>
    </r>
    <r>
      <rPr>
        <sz val="11"/>
        <color theme="1"/>
        <rFont val="Calibri"/>
        <family val="2"/>
        <scheme val="minor"/>
      </rPr>
      <t xml:space="preserve">and assigned a </t>
    </r>
    <r>
      <rPr>
        <b/>
        <sz val="11"/>
        <color rgb="FF943634"/>
        <rFont val="Calibri"/>
        <family val="2"/>
        <scheme val="minor"/>
      </rPr>
      <t>Assessment Organization Representative</t>
    </r>
    <r>
      <rPr>
        <sz val="11"/>
        <color theme="1"/>
        <rFont val="Calibri"/>
        <family val="2"/>
        <scheme val="minor"/>
      </rPr>
      <t xml:space="preserve"> for the certification process.</t>
    </r>
  </si>
  <si>
    <r>
      <rPr>
        <b/>
        <sz val="10"/>
        <color rgb="FF943634"/>
        <rFont val="Arial"/>
        <family val="2"/>
      </rPr>
      <t>Photographs</t>
    </r>
    <r>
      <rPr>
        <b/>
        <sz val="10"/>
        <color rgb="FF58AB27"/>
        <rFont val="Arial"/>
        <family val="2"/>
      </rPr>
      <t xml:space="preserve"> </t>
    </r>
    <r>
      <rPr>
        <sz val="10"/>
        <color theme="1"/>
        <rFont val="Arial"/>
        <family val="2"/>
      </rPr>
      <t>- Photographs can be used as evidence to show that a strategy has been implemented, a piece of equipment has been installed, etc. 
The following requirements must be met when submitting photographs as evidence:
• photographs should be dated
• photographs should not be blurry or distorted
• Several photographs (at varying levels of proximity) should be taken for each green feature meeting LOTUS requirements. In this manner, both the general location and 
the specifics (model name, rated power input, etc.) of the green feature can be observed.  
• All measures concerning a credit within a project must be verified with a photograph (for example, in credit W-1, all low-flow toilets installed in the building should be photographed).</t>
    </r>
  </si>
  <si>
    <r>
      <rPr>
        <b/>
        <sz val="10"/>
        <color rgb="FF943634"/>
        <rFont val="Arial"/>
        <family val="2"/>
      </rPr>
      <t>Assessment Fee</t>
    </r>
    <r>
      <rPr>
        <sz val="10"/>
        <rFont val="Arial"/>
        <family val="2"/>
      </rPr>
      <t xml:space="preserve"> - The Assessment Fee is a one off charge for the total administration process of LOTUS Certification and is bound by the Certification Agreement.</t>
    </r>
  </si>
  <si>
    <r>
      <rPr>
        <b/>
        <sz val="10"/>
        <color rgb="FF943634"/>
        <rFont val="Arial"/>
        <family val="2"/>
      </rPr>
      <t>Assessment Organization Representative</t>
    </r>
    <r>
      <rPr>
        <sz val="10"/>
        <rFont val="Arial"/>
        <family val="2"/>
      </rPr>
      <t xml:space="preserve"> - The Assessment Organization Representative is nominated within the Registration Process and will be the Assessment Organization primary representative that liaises with the Applicant Representative throughout the duration of the project.</t>
    </r>
  </si>
  <si>
    <r>
      <rPr>
        <b/>
        <sz val="10"/>
        <color rgb="FF943634"/>
        <rFont val="Arial"/>
        <family val="2"/>
      </rPr>
      <t>Assessment Organization</t>
    </r>
    <r>
      <rPr>
        <sz val="10"/>
        <rFont val="Arial"/>
        <family val="2"/>
      </rPr>
      <t xml:space="preserve"> - The organization that performs the assessment of the projects applying for LOTUS Certification.</t>
    </r>
  </si>
  <si>
    <t>For 1 point, 25% of the area in living rooms and bedrooms are designed with cross ventilation
1 point for every 25% of the area in living rooms and bedrooms which are designed with cross ventilation (up to 100%)</t>
  </si>
  <si>
    <t>1. Specific LOTUS Terms</t>
  </si>
  <si>
    <t>2. LOTUS Submission terms</t>
  </si>
  <si>
    <t>3. Master Plan terms</t>
  </si>
  <si>
    <t>4. Technical terms</t>
  </si>
  <si>
    <r>
      <rPr>
        <b/>
        <sz val="10"/>
        <color rgb="FF943634"/>
        <rFont val="Arial"/>
        <family val="2"/>
      </rPr>
      <t>Vegetated Area</t>
    </r>
    <r>
      <rPr>
        <sz val="10"/>
        <rFont val="Arial"/>
        <family val="2"/>
      </rPr>
      <t xml:space="preserve"> - Any area on the building site that is not paved and has plant cover. </t>
    </r>
  </si>
  <si>
    <r>
      <rPr>
        <b/>
        <sz val="10"/>
        <color rgb="FF943634"/>
        <rFont val="Arial"/>
        <family val="2"/>
      </rPr>
      <t>Site Area</t>
    </r>
    <r>
      <rPr>
        <sz val="10"/>
        <rFont val="Arial"/>
        <family val="2"/>
      </rPr>
      <t xml:space="preserve"> - The total area of the building site. </t>
    </r>
  </si>
  <si>
    <r>
      <rPr>
        <b/>
        <sz val="10"/>
        <color rgb="FF943634"/>
        <rFont val="Arial"/>
        <family val="2"/>
      </rPr>
      <t>Non-Building area</t>
    </r>
    <r>
      <rPr>
        <sz val="10"/>
        <rFont val="Arial"/>
        <family val="2"/>
      </rPr>
      <t xml:space="preserve"> - The site area minus the building footprint. Includes Open space as well as hardscaping, access roads, car parking and non-building facilities. </t>
    </r>
  </si>
  <si>
    <r>
      <rPr>
        <b/>
        <sz val="10"/>
        <color rgb="FF943634"/>
        <rFont val="Arial"/>
        <family val="2"/>
      </rPr>
      <t>Hardscaping</t>
    </r>
    <r>
      <rPr>
        <sz val="10"/>
        <rFont val="Arial"/>
        <family val="2"/>
      </rPr>
      <t xml:space="preserve"> - The practice of landscaping that refers to paved areas like streets &amp; sidewalks. </t>
    </r>
  </si>
  <si>
    <t>Case 3: In a credit with different strategies available, the building performance reaches a higher number of points than what is available in the credit.</t>
  </si>
  <si>
    <t>Description of the measures taken to surpass the initial credit requirement</t>
  </si>
  <si>
    <r>
      <rPr>
        <b/>
        <sz val="10"/>
        <rFont val="Arial"/>
        <family val="2"/>
      </rPr>
      <t>Strategy C: Shading devices</t>
    </r>
    <r>
      <rPr>
        <sz val="10"/>
        <rFont val="Arial"/>
        <family val="2"/>
      </rPr>
      <t xml:space="preserve">
1 point for meeting each of the following requirements: 
- Install appropriate shading devices on 90% of the glazing area of the north and south facades
- Install appropriate shading devices on 90% of the glazing area of the east and west facades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</si>
  <si>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the energy consumption of equipment and appliances.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39 of the LOTUS Homes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For each appliance, enter the type of appliance, the name, quantity and the power of this appliance. 
Also, select if the appliance has an energy efficiency label (or an equivalent performance) recognised by LOTUS.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</si>
  <si>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the energy consumption of domestic water heating by using solar or heat pump water heating systems.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37 of the LOTUS Homes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Choose to follow either Option A: Solar water heating </t>
    </r>
    <r>
      <rPr>
        <b/>
        <sz val="11"/>
        <color rgb="FFFF0000"/>
        <rFont val="Arial"/>
        <family val="2"/>
      </rPr>
      <t>OR</t>
    </r>
    <r>
      <rPr>
        <b/>
        <sz val="11"/>
        <color theme="1" tint="0.249977111117893"/>
        <rFont val="Arial"/>
        <family val="2"/>
      </rPr>
      <t xml:space="preserve"> Option B: Heat pump water heating. 
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</si>
  <si>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energy consumption associated with the use of interior artificial lighting systems by selecting efficient lighting fixtures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36 of the LOTUS Homes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Choose to follow either the Prescriptive Path </t>
    </r>
    <r>
      <rPr>
        <b/>
        <sz val="11"/>
        <color rgb="FFFF0000"/>
        <rFont val="Arial"/>
        <family val="2"/>
      </rPr>
      <t>OR</t>
    </r>
    <r>
      <rPr>
        <b/>
        <sz val="11"/>
        <color theme="1" tint="0.249977111117893"/>
        <rFont val="Arial"/>
        <family val="2"/>
      </rPr>
      <t xml:space="preserve"> the Performance Path</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</si>
  <si>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sz val="10"/>
        <rFont val="Arial"/>
        <family val="2"/>
      </rPr>
      <t>Strategy A1: Stack Ventilation</t>
    </r>
    <r>
      <rPr>
        <sz val="10"/>
        <rFont val="Arial"/>
        <family val="2"/>
      </rPr>
      <t xml:space="preserve">
For 1 point, install a vent column or a rooftop turbine vent to create stack ventilation</t>
    </r>
  </si>
  <si>
    <t>Strategy A2: Minimized use of air-conditioning</t>
  </si>
  <si>
    <t>Strategy A2: Cross ventilation</t>
  </si>
  <si>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reduce the need for HVAC systems and increase natural air flow and to encourage the installation of energy efficient HVAC systems.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32 of the LOTUS Homes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2 main strategies are available for this credit and both strategies can be followed at the same time with a maximum of </t>
    </r>
    <r>
      <rPr>
        <b/>
        <sz val="11"/>
        <color rgb="FF58B527"/>
        <rFont val="Arial"/>
        <family val="2"/>
      </rPr>
      <t>6 points available</t>
    </r>
    <r>
      <rPr>
        <b/>
        <sz val="11"/>
        <color theme="1" tint="0.249977111117893"/>
        <rFont val="Arial"/>
        <family val="2"/>
      </rPr>
      <t xml:space="preserve">. 
Inside each of these 2 strategies, choose to follow either the Prescriptive Path </t>
    </r>
    <r>
      <rPr>
        <b/>
        <sz val="11"/>
        <color rgb="FFFF0000"/>
        <rFont val="Arial"/>
        <family val="2"/>
      </rPr>
      <t>OR</t>
    </r>
    <r>
      <rPr>
        <b/>
        <sz val="11"/>
        <color theme="1" tint="0.249977111117893"/>
        <rFont val="Arial"/>
        <family val="2"/>
      </rPr>
      <t xml:space="preserve"> the Performance Path. Read all the instructions and complete the information in the light red-coloured cells.</t>
    </r>
  </si>
  <si>
    <r>
      <rPr>
        <b/>
        <sz val="10"/>
        <rFont val="Arial"/>
        <family val="2"/>
      </rPr>
      <t>Strategy B1: Variable speed compressors</t>
    </r>
    <r>
      <rPr>
        <sz val="10"/>
        <rFont val="Arial"/>
        <family val="2"/>
      </rPr>
      <t xml:space="preserve"> 
For 1 point, all air-conditioners are equipped with variable speed compressors</t>
    </r>
  </si>
  <si>
    <t>Strategy B2: COP Improvement</t>
  </si>
  <si>
    <t>Strategy B2: Energy efficient air-conditioners</t>
  </si>
  <si>
    <r>
      <rPr>
        <b/>
        <sz val="10"/>
        <rFont val="Arial"/>
        <family val="2"/>
      </rPr>
      <t xml:space="preserve">Strategy B1: Variable speed compressors </t>
    </r>
    <r>
      <rPr>
        <sz val="10"/>
        <rFont val="Arial"/>
        <family val="2"/>
      </rPr>
      <t xml:space="preserve">
For 1 point, all air-conditioners are equipped with variable speed compressors</t>
    </r>
  </si>
  <si>
    <t>Strategy A1: Stack Ventilation 
Create stack ventilation in the house.</t>
  </si>
  <si>
    <t>Strategy A1: Stack Ventilation 
Create stack ventilation in the house</t>
  </si>
  <si>
    <t>Strategy A2: Minimized use of air-conditioning
Minimize the use of air-conditioning by installing air-conditioning units only in the bedrooms or by not installing any air-conditioning unit at all.</t>
  </si>
  <si>
    <t>For strategy A1, submit all the documentation listed below at Certification Stage:</t>
  </si>
  <si>
    <t>For strategy A2, submit all the documentation listed below at Certification Stage:</t>
  </si>
  <si>
    <t xml:space="preserve">Strategy A2: Cross Ventilation 
Design living rooms and bedrooms with cross ventilation. </t>
  </si>
  <si>
    <r>
      <rPr>
        <b/>
        <sz val="10"/>
        <rFont val="Arial"/>
        <family val="2"/>
      </rPr>
      <t xml:space="preserve">Strategy B1: Variable speed compressors </t>
    </r>
    <r>
      <rPr>
        <sz val="10"/>
        <rFont val="Arial"/>
        <family val="2"/>
      </rPr>
      <t xml:space="preserve">
Select air-conditioners systems equipped with variable speed compressors (often referred to as inverters for split-units) to ensure better part-load systems efficiency.  </t>
    </r>
  </si>
  <si>
    <r>
      <rPr>
        <b/>
        <sz val="10"/>
        <rFont val="Arial"/>
        <family val="2"/>
      </rPr>
      <t>Strategy B2: Energy efficient air-conditioners</t>
    </r>
    <r>
      <rPr>
        <sz val="10"/>
        <rFont val="Arial"/>
        <family val="2"/>
      </rPr>
      <t xml:space="preserve">
Select air conditioning systems that are labelled under the energy label developed by VNEEP and the Ministry of Industry and Trade. </t>
    </r>
  </si>
  <si>
    <r>
      <rPr>
        <b/>
        <sz val="10"/>
        <rFont val="Arial"/>
        <family val="2"/>
      </rPr>
      <t xml:space="preserve">Strategy B2: COP Performance </t>
    </r>
    <r>
      <rPr>
        <sz val="10"/>
        <rFont val="Arial"/>
        <family val="2"/>
      </rPr>
      <t xml:space="preserve">
Select and install HVAC equipment whose COP values meet the minimum requirement values of Table below</t>
    </r>
  </si>
  <si>
    <t>For strategy B1, submit all the documentation listed below at Certification Stage:</t>
  </si>
  <si>
    <t>For strategy B2, submit all the documentation listed below at Certification Stage:</t>
  </si>
  <si>
    <t>For 1 point, average COP of all the air-conditioners is 10% higher than VBEEC requirements
1 point for every 10% improvement of the average COP of all the air-conditioners in comparison to VBEEC requirements (up to 30%)</t>
  </si>
  <si>
    <r>
      <rPr>
        <b/>
        <u/>
        <sz val="11"/>
        <color theme="1" tint="0.249977111117893"/>
        <rFont val="Arial"/>
        <family val="2"/>
      </rPr>
      <t>Aim:</t>
    </r>
    <r>
      <rPr>
        <sz val="11"/>
        <color theme="1" tint="0.249977111117893"/>
        <rFont val="Arial"/>
        <family val="2"/>
      </rPr>
      <t xml:space="preserve"> To have access to energy use information and encourage energy conservation.
</t>
    </r>
    <r>
      <rPr>
        <b/>
        <u/>
        <sz val="11"/>
        <color theme="1" tint="0.249977111117893"/>
        <rFont val="Arial"/>
        <family val="2"/>
      </rPr>
      <t>Reference:</t>
    </r>
    <r>
      <rPr>
        <sz val="11"/>
        <color theme="1" tint="0.249977111117893"/>
        <rFont val="Arial"/>
        <family val="2"/>
      </rPr>
      <t xml:space="preserve"> Page 41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</si>
  <si>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Reference:</t>
    </r>
    <r>
      <rPr>
        <sz val="11"/>
        <color theme="1" tint="0.249977111117893"/>
        <rFont val="Arial"/>
        <family val="2"/>
      </rPr>
      <t xml:space="preserve"> Page 116-120 of the LOTUS Homes V1 Technical Manual
</t>
    </r>
    <r>
      <rPr>
        <b/>
        <u/>
        <sz val="11"/>
        <color theme="1" tint="0.249977111117893"/>
        <rFont val="Arial"/>
        <family val="2"/>
      </rPr>
      <t>Instructions:</t>
    </r>
    <r>
      <rPr>
        <b/>
        <sz val="11"/>
        <color theme="1" tint="0.249977111117893"/>
        <rFont val="Arial"/>
        <family val="2"/>
      </rPr>
      <t xml:space="preserve">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</si>
  <si>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reduce the consumption of water in buildings by means of water efficient fixtures.
</t>
    </r>
    <r>
      <rPr>
        <b/>
        <u/>
        <sz val="11"/>
        <color theme="1" tint="0.249977111117893"/>
        <rFont val="Arial"/>
        <family val="2"/>
      </rPr>
      <t>Reference:</t>
    </r>
    <r>
      <rPr>
        <sz val="11"/>
        <color theme="1" tint="0.249977111117893"/>
        <rFont val="Arial"/>
        <family val="2"/>
      </rPr>
      <t xml:space="preserve"> Page 44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 xml:space="preserve">Choose to follow either the Prescriptive Path </t>
    </r>
    <r>
      <rPr>
        <b/>
        <sz val="11"/>
        <color rgb="FFFF0000"/>
        <rFont val="Arial"/>
        <family val="2"/>
      </rPr>
      <t>OR</t>
    </r>
    <r>
      <rPr>
        <b/>
        <sz val="11"/>
        <color theme="1" tint="0.249977111117893"/>
        <rFont val="Arial"/>
        <family val="2"/>
      </rPr>
      <t xml:space="preserve"> the Performance Path
Read all the instructions and complete the information on the water fixtures installed in the building.</t>
    </r>
  </si>
  <si>
    <r>
      <rPr>
        <b/>
        <u/>
        <sz val="11"/>
        <color theme="1" tint="0.249977111117893"/>
        <rFont val="Arial"/>
        <family val="2"/>
      </rPr>
      <t>Aim:</t>
    </r>
    <r>
      <rPr>
        <sz val="11"/>
        <color theme="1" tint="0.249977111117893"/>
        <rFont val="Arial"/>
        <family val="2"/>
      </rPr>
      <t xml:space="preserve"> To reduce potable water consumption on landscaping
</t>
    </r>
    <r>
      <rPr>
        <b/>
        <u/>
        <sz val="11"/>
        <color theme="1" tint="0.249977111117893"/>
        <rFont val="Arial"/>
        <family val="2"/>
      </rPr>
      <t>Reference:</t>
    </r>
    <r>
      <rPr>
        <sz val="11"/>
        <color theme="1" tint="0.249977111117893"/>
        <rFont val="Arial"/>
        <family val="2"/>
      </rPr>
      <t xml:space="preserve"> Page 45 of the LOTUS Homes V1 Technical Manual
</t>
    </r>
    <r>
      <rPr>
        <b/>
        <u/>
        <sz val="11"/>
        <color theme="1" tint="0.249977111117893"/>
        <rFont val="Arial"/>
        <family val="2"/>
      </rPr>
      <t>Instructions:</t>
    </r>
    <r>
      <rPr>
        <b/>
        <sz val="11"/>
        <color theme="1" tint="0.249977111117893"/>
        <rFont val="Arial"/>
        <family val="2"/>
      </rPr>
      <t xml:space="preserve"> Choose to follow either the Prescriptive Path </t>
    </r>
    <r>
      <rPr>
        <b/>
        <sz val="11"/>
        <color rgb="FFFF0000"/>
        <rFont val="Arial"/>
        <family val="2"/>
      </rPr>
      <t>OR</t>
    </r>
    <r>
      <rPr>
        <b/>
        <sz val="11"/>
        <color theme="1" tint="0.249977111117893"/>
        <rFont val="Arial"/>
        <family val="2"/>
      </rPr>
      <t xml:space="preserve"> the Performance Path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</si>
  <si>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reduce consumption of bottled drinking water and improve quality of drinking water.
</t>
    </r>
    <r>
      <rPr>
        <b/>
        <u/>
        <sz val="11"/>
        <color theme="1" tint="0.249977111117893"/>
        <rFont val="Arial"/>
        <family val="2"/>
      </rPr>
      <t>Reference:</t>
    </r>
    <r>
      <rPr>
        <sz val="11"/>
        <color theme="1" tint="0.249977111117893"/>
        <rFont val="Arial"/>
        <family val="2"/>
      </rPr>
      <t xml:space="preserve"> Page 47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light-red-coloured cells with appropriate information.</t>
    </r>
  </si>
  <si>
    <r>
      <rPr>
        <b/>
        <u/>
        <sz val="11"/>
        <color theme="1" tint="0.249977111117893"/>
        <rFont val="Arial"/>
        <family val="2"/>
      </rPr>
      <t>Reference:</t>
    </r>
    <r>
      <rPr>
        <sz val="11"/>
        <color theme="1" tint="0.249977111117893"/>
        <rFont val="Arial"/>
        <family val="2"/>
      </rPr>
      <t xml:space="preserve"> Page 121-128 of the LOTUS Homes V1 Technical Manual
</t>
    </r>
    <r>
      <rPr>
        <b/>
        <u/>
        <sz val="11"/>
        <color theme="1" tint="0.249977111117893"/>
        <rFont val="Arial"/>
        <family val="2"/>
      </rPr>
      <t>Instructions:</t>
    </r>
    <r>
      <rPr>
        <b/>
        <sz val="11"/>
        <color theme="1" tint="0.249977111117893"/>
        <rFont val="Arial"/>
        <family val="2"/>
      </rPr>
      <t xml:space="preserve"> Read all the instructions and complete the information in the light red-coloured cells.</t>
    </r>
  </si>
  <si>
    <r>
      <rPr>
        <b/>
        <sz val="10"/>
        <rFont val="Arial"/>
        <family val="2"/>
      </rPr>
      <t>Strategy E: Ceilings, partitions and insulation</t>
    </r>
    <r>
      <rPr>
        <sz val="10"/>
        <rFont val="Arial"/>
        <family val="2"/>
      </rPr>
      <t xml:space="preserve">
Specify and install low-VOC emission ceiling, partition and insulation products</t>
    </r>
  </si>
  <si>
    <t>• are certified as low VOC products by any internationally or regionally recognised authorities/labels (e.g. Singapore Green Label, GreenGuard, Global Green Tag, Cradle to Cradle, etc.);</t>
  </si>
  <si>
    <t xml:space="preserve">• or, have a VOC content lower than the limits set by any internationally or regionally recognised authorities/labels. In this case, the VOC content of the products should appear either on manufacturer’s published data or on laboratory test results following relevant test methods such as: US EPA Reference Method 24, EN 16516, ASTM D6886, etc. </t>
  </si>
  <si>
    <t>• or, are inherently non-emitting VOC (stone, ceramics, powder-coated metals, plated metals or anodized metals, glass, concrete, clay brick, and unfinished/untreated solid wood, etc.)</t>
  </si>
  <si>
    <t>Are considered as low VOC products in LOTUS Homes, the products which either:</t>
  </si>
  <si>
    <t>Click on the links on 
the right to navigate 
to other H&amp;C credits</t>
  </si>
  <si>
    <r>
      <rPr>
        <b/>
        <sz val="10"/>
        <rFont val="Arial"/>
        <family val="2"/>
      </rPr>
      <t>Strategy A: Paints and coatings</t>
    </r>
    <r>
      <rPr>
        <sz val="10"/>
        <rFont val="Arial"/>
        <family val="2"/>
      </rPr>
      <t xml:space="preserve">
Specify and install low-VOC emission paints and coatings </t>
    </r>
  </si>
  <si>
    <r>
      <rPr>
        <b/>
        <sz val="10"/>
        <rFont val="Arial"/>
        <family val="2"/>
      </rPr>
      <t>Strategy B: Adhesives and sealants</t>
    </r>
    <r>
      <rPr>
        <sz val="10"/>
        <rFont val="Arial"/>
        <family val="2"/>
      </rPr>
      <t xml:space="preserve">
Specify and install low-VOC emission adhesives and sealants</t>
    </r>
  </si>
  <si>
    <r>
      <rPr>
        <b/>
        <sz val="10"/>
        <rFont val="Arial"/>
        <family val="2"/>
      </rPr>
      <t>Strategy C: Floorings</t>
    </r>
    <r>
      <rPr>
        <sz val="10"/>
        <rFont val="Arial"/>
        <family val="2"/>
      </rPr>
      <t xml:space="preserve">
Specify and install low-VOC emission floorings</t>
    </r>
  </si>
  <si>
    <t>Only interior paints and coatings installed by the project are considered in this credit.</t>
  </si>
  <si>
    <t>Low-VOC emission product?</t>
  </si>
  <si>
    <t>Only interior adhesives and sealants installed by the project are considered in this credit.</t>
  </si>
  <si>
    <t>Flooring systems such as ceramic tiles, stone, rubber, self-leveling compounds, polished concrete, timber, etc. are exempted and do not need to justify a low VOC content.</t>
  </si>
  <si>
    <t>However, when finishing products are used on these types of flooring systems, the finishing products have to be low VOC products.</t>
  </si>
  <si>
    <t>Complete the table below with information on all the flooring systems (including the finishing products) installed by the project:</t>
  </si>
  <si>
    <t>Type of flooring product</t>
  </si>
  <si>
    <t>All floorings compliant?</t>
  </si>
  <si>
    <t>Low formaldehyde ?</t>
  </si>
  <si>
    <t>Formaldehyde content of the product</t>
  </si>
  <si>
    <t>Adhesive used for assembly</t>
  </si>
  <si>
    <t>All composite wood products compliant?</t>
  </si>
  <si>
    <t>Strategy E: Ceilings, partitions and insulation</t>
  </si>
  <si>
    <t>Thermal and acoustic insulation should be considered in this strategy but not HVAC ductwork insulation.</t>
  </si>
  <si>
    <t>Complete the table below with information on all the ceiling, partition and insulation products installed by the project:</t>
  </si>
  <si>
    <t>All ceilings, partitions and insulation compliant ?</t>
  </si>
  <si>
    <t>H-3 Low-VOC Emissions Products</t>
  </si>
  <si>
    <r>
      <rPr>
        <b/>
        <sz val="10"/>
        <rFont val="Arial"/>
        <family val="2"/>
      </rPr>
      <t>Strategy D: Wood furniture</t>
    </r>
    <r>
      <rPr>
        <sz val="10"/>
        <rFont val="Arial"/>
        <family val="2"/>
      </rPr>
      <t xml:space="preserve">
Specify and install low-formaldehyde emission wood furniture</t>
    </r>
  </si>
  <si>
    <t>• wood furniture with inherently non-emitting formaldehyde components (unfinished/untreated solid wood)</t>
  </si>
  <si>
    <t>• wood furniture which do not exceed a concentration limit of 0.05 ppm of formaldehyde (0.06 mg/m2.h when expressed as emission rate)</t>
  </si>
  <si>
    <t>• wood furniture which is completely finished off-site and contains no urea-formaldehyde (UF) resins nor phenol-formaldehyde (PF) resins</t>
  </si>
  <si>
    <t>Complete the table below with information on all the different wood furniture installed by the project:</t>
  </si>
  <si>
    <t>Also, use adhesives with no added urea-formaldehyde to fabricate furniture assemblies.</t>
  </si>
  <si>
    <t>• For each low-VOC product, evidence showing that the products installed are low-VOC products such as manufacturer’s published data, certificate, test reports, etc.</t>
  </si>
  <si>
    <t>• Evidence showing that the low-VOC products have been installed such as invoices, receipts, delivery notes, photographs, etc.</t>
  </si>
  <si>
    <t>• For each low-formaldehyde product, evidence showing that the products installed are low-formaldehyde products such as manufacturer’s published data, certificate, test reports, etc.</t>
  </si>
  <si>
    <t>• Evidence showing that the low-formaldehyde products have been installed such as invoices, receipts, delivery notes, photographs, etc.</t>
  </si>
  <si>
    <t>Strategy C: Floorings</t>
  </si>
  <si>
    <t xml:space="preserve">Install only low-VOC emission flooring products and systems. </t>
  </si>
  <si>
    <t xml:space="preserve">Install only low-VOC emission interior adhesives and sealants. </t>
  </si>
  <si>
    <t xml:space="preserve">Install only low-VOC emission interior paints and coatings. </t>
  </si>
  <si>
    <t>Install only low-VOC emission ceiling, partition and insulation products and systems.</t>
  </si>
  <si>
    <r>
      <rPr>
        <b/>
        <u/>
        <sz val="11"/>
        <color theme="1" tint="0.249977111117893"/>
        <rFont val="Arial"/>
        <family val="2"/>
      </rPr>
      <t>Reference:</t>
    </r>
    <r>
      <rPr>
        <sz val="11"/>
        <color theme="1" tint="0.249977111117893"/>
        <rFont val="Arial"/>
        <family val="2"/>
      </rPr>
      <t xml:space="preserve"> Page 133-135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</si>
  <si>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encourage exceptional performance, and recognise projects that achieves environmental benefits in excess of the current LOTUS Rating System benchmarks
</t>
    </r>
    <r>
      <rPr>
        <b/>
        <u/>
        <sz val="11"/>
        <color theme="1" tint="0.249977111117893"/>
        <rFont val="Arial"/>
        <family val="2"/>
      </rPr>
      <t>Reference:</t>
    </r>
    <r>
      <rPr>
        <sz val="11"/>
        <color theme="1" tint="0.249977111117893"/>
        <rFont val="Arial"/>
        <family val="2"/>
      </rPr>
      <t xml:space="preserve"> Page 112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relevent information in the light red-coloured cells.</t>
    </r>
  </si>
  <si>
    <r>
      <rPr>
        <b/>
        <u/>
        <sz val="11"/>
        <color theme="1" tint="0.249977111117893"/>
        <rFont val="Arial"/>
        <family val="2"/>
      </rPr>
      <t>Aim:</t>
    </r>
    <r>
      <rPr>
        <sz val="11"/>
        <color theme="1" tint="0.249977111117893"/>
        <rFont val="Arial"/>
        <family val="2"/>
      </rPr>
      <t xml:space="preserve"> To promote techniques and/or initiatives that are out of the scope of the current LOTUS Rating System.
</t>
    </r>
    <r>
      <rPr>
        <b/>
        <u/>
        <sz val="11"/>
        <color theme="1" tint="0.249977111117893"/>
        <rFont val="Arial"/>
        <family val="2"/>
      </rPr>
      <t>Reference:</t>
    </r>
    <r>
      <rPr>
        <sz val="11"/>
        <color theme="1" tint="0.249977111117893"/>
        <rFont val="Arial"/>
        <family val="2"/>
      </rPr>
      <t xml:space="preserve"> Page 114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relevent information in the light red-coloured cells.</t>
    </r>
  </si>
  <si>
    <t>Innovative solution 1</t>
  </si>
  <si>
    <t>Proposed Innovative solution</t>
  </si>
  <si>
    <t>Innovative nature</t>
  </si>
  <si>
    <t>Environmental benefit</t>
  </si>
  <si>
    <t>Innovative solution 2</t>
  </si>
  <si>
    <t>Innovative solution 3</t>
  </si>
  <si>
    <t>Innovative solution 4</t>
  </si>
  <si>
    <t>Implement innovative and environmentally friendly solutions that are not considered in the scope of LOTUS Homes</t>
  </si>
  <si>
    <t>• If necessary, supporting evidence verifying the expected performance such as manufacturer’s data, calculations, etc.</t>
  </si>
  <si>
    <t xml:space="preserve">• Evidence demonstrating that the construction, installation or implementation has been done according to the description provided. </t>
  </si>
  <si>
    <t>For Innovation 4, submit all the documentation listed below:</t>
  </si>
  <si>
    <t>For Innovation 3, submit all the documentation listed below:</t>
  </si>
  <si>
    <t>For Innovation 2, submit all the documentation listed below:</t>
  </si>
  <si>
    <t>For Innovation 1, submit all the documentation listed below:</t>
  </si>
  <si>
    <t xml:space="preserve">    </t>
  </si>
  <si>
    <t xml:space="preserve">   </t>
  </si>
  <si>
    <t xml:space="preserve">            </t>
  </si>
  <si>
    <t>Arcadis Vietnam Co., Ltd</t>
  </si>
  <si>
    <t>CC1-MEKONG</t>
  </si>
  <si>
    <t>DP Sustainable Design</t>
  </si>
  <si>
    <t>Europe Deco Concrete Co., Ltd.</t>
  </si>
  <si>
    <t>FDC Investment Construction &amp; Real Estate</t>
  </si>
  <si>
    <t>GROUP GSA</t>
  </si>
  <si>
    <t xml:space="preserve">Hoang Tam Architecture &amp; Interior </t>
  </si>
  <si>
    <t>Nam A Jsc.</t>
  </si>
  <si>
    <t>New Era Block Tile JSC</t>
  </si>
  <si>
    <t>Ngoc Nguyet Service &amp; Trading Co., Ltd</t>
  </si>
  <si>
    <t>Pinctadali Vietnam</t>
  </si>
  <si>
    <t>Sài Gòn Xanh</t>
  </si>
  <si>
    <t>Solar Electric Vietnam JSC</t>
  </si>
  <si>
    <t>TT-Associates</t>
  </si>
  <si>
    <t>Unity Architects</t>
  </si>
  <si>
    <t xml:space="preserve">Vietnam Investment Consulting and Construction Designing JSC </t>
  </si>
  <si>
    <t>WORK &amp; WONDERS Co., Ltd</t>
  </si>
  <si>
    <t>Zamil Steel Vietnam</t>
  </si>
  <si>
    <t>The VGBC would also like to thank its generous and valuable members (as of September 2017):</t>
  </si>
  <si>
    <t>2.1 Laundry shop</t>
  </si>
  <si>
    <t>Provide sufficient fresh air supply to occupied areas.</t>
  </si>
  <si>
    <t>3.1 Restaurant dining rooms</t>
  </si>
  <si>
    <t>3.2 Cafeteria/fast-food dining</t>
  </si>
  <si>
    <t>3 types of ventilation are considered to provide fresh air to the occupied spaces:</t>
  </si>
  <si>
    <t>3.3 Bars, cocktail lounges</t>
  </si>
  <si>
    <t>3.4 Kitchen (cooking)</t>
  </si>
  <si>
    <t>4.1 Auditorium seating area</t>
  </si>
  <si>
    <t>4.2 Corridor</t>
  </si>
  <si>
    <r>
      <t>To receive sufficient fresh air supply through natural ventilation, an occupied room must:
• be within 8 meters of (and permanently open to) an operable wall or roof opening
• have a total area of wall or roof openings of at least 4% of the floor area of the room.
An occupied room without direct openings to the outdoors can be naturally ventilated through adjoining rooms if the unobstructed openings between the rooms are at least 8% of the floor area (with a minimum of 2.3 m</t>
    </r>
    <r>
      <rPr>
        <vertAlign val="superscript"/>
        <sz val="10"/>
        <rFont val="Arial"/>
        <family val="2"/>
      </rPr>
      <t>2</t>
    </r>
    <r>
      <rPr>
        <sz val="10"/>
        <rFont val="Arial"/>
        <family val="2"/>
      </rPr>
      <t>).</t>
    </r>
  </si>
  <si>
    <t>4.3 Studio</t>
  </si>
  <si>
    <t>4.4 Ticket counter</t>
  </si>
  <si>
    <t>• Mechanically ventilated spaces:</t>
  </si>
  <si>
    <t>5.1 Classroom</t>
  </si>
  <si>
    <t>5.2 Laboratories</t>
  </si>
  <si>
    <t xml:space="preserve">In this case, fresh air supply must meet or surpass the requirements of a recognised standard including but not limited to the following: TCVN 5687:2010 "Ventilation - air conditioning - Design standards", ASHRAE Standard 62.1 - Ventilation for Acceptable Indoor Air Quality </t>
  </si>
  <si>
    <t>5.3 Meeting room</t>
  </si>
  <si>
    <t>5.4 Library</t>
  </si>
  <si>
    <t>• Mixed-mode ventilated spaces:</t>
  </si>
  <si>
    <t xml:space="preserve">5.5 Lecture </t>
  </si>
  <si>
    <t>5.6 Music/theater/dance</t>
  </si>
  <si>
    <t>Both the above requirements for mechanically ventilated spaces and for naturally ventilated spaces must be met.</t>
  </si>
  <si>
    <t>5.7 Corridor</t>
  </si>
  <si>
    <t>5.8 Storage room</t>
  </si>
  <si>
    <t>6.1 Patient room</t>
  </si>
  <si>
    <t>6.2 Examination room</t>
  </si>
  <si>
    <t>6.3 Operating room</t>
  </si>
  <si>
    <t xml:space="preserve">6.4 Mortuary </t>
  </si>
  <si>
    <t>Complete the Table below with information on the types of ventilation included in the project:</t>
  </si>
  <si>
    <t>6.5 Physical Therapy room</t>
  </si>
  <si>
    <t>6.6 Canteen</t>
  </si>
  <si>
    <t>Types of Ventilation</t>
  </si>
  <si>
    <t>Included in the project?</t>
  </si>
  <si>
    <t>6.7 Security</t>
  </si>
  <si>
    <t>• Naturally ventilated spaces</t>
  </si>
  <si>
    <t>7.1 Spectator area</t>
  </si>
  <si>
    <t>• Mechanically ventilated spaces</t>
  </si>
  <si>
    <t>7.2 Sport arena</t>
  </si>
  <si>
    <t>• Mixed-mode ventilated spaces</t>
  </si>
  <si>
    <t>7.3 Ice rink</t>
  </si>
  <si>
    <t>7.4 Swimming pool with spectators</t>
  </si>
  <si>
    <t>• Naturally ventilated or mixed-mode ventilated spaces:</t>
  </si>
  <si>
    <t>7.5 Disco/dance floors</t>
  </si>
  <si>
    <t>7.6 Bowling alley</t>
  </si>
  <si>
    <t>8.1 Corridor and storage domestic electrrical goods</t>
  </si>
  <si>
    <t>Occupied space</t>
  </si>
  <si>
    <r>
      <t>Total area of openings to the outdoors (m</t>
    </r>
    <r>
      <rPr>
        <vertAlign val="superscript"/>
        <sz val="10"/>
        <color indexed="9"/>
        <rFont val="Arial"/>
        <family val="2"/>
      </rPr>
      <t>2</t>
    </r>
    <r>
      <rPr>
        <sz val="10"/>
        <color indexed="9"/>
        <rFont val="Arial"/>
        <family val="2"/>
      </rPr>
      <t>)</t>
    </r>
  </si>
  <si>
    <t>Maximum distance from an opening (m)</t>
  </si>
  <si>
    <r>
      <t>Size of the opening between rooms (m</t>
    </r>
    <r>
      <rPr>
        <vertAlign val="superscript"/>
        <sz val="10"/>
        <color indexed="9"/>
        <rFont val="Arial"/>
        <family val="2"/>
      </rPr>
      <t>2</t>
    </r>
    <r>
      <rPr>
        <sz val="10"/>
        <color indexed="9"/>
        <rFont val="Arial"/>
        <family val="2"/>
      </rPr>
      <t>)</t>
    </r>
  </si>
  <si>
    <t>8.2 Mall concourse</t>
  </si>
  <si>
    <t>8.3 Shop</t>
  </si>
  <si>
    <t>8.4 Break room</t>
  </si>
  <si>
    <t>8.5 Smoking room</t>
  </si>
  <si>
    <t>9.1 Barbershop</t>
  </si>
  <si>
    <t>9.2 Beauty and nail salons</t>
  </si>
  <si>
    <t>9.3 Clothes and wood furniture shop</t>
  </si>
  <si>
    <t>9.4 Flower shop</t>
  </si>
  <si>
    <t/>
  </si>
  <si>
    <t>9.5 Supermarket</t>
  </si>
  <si>
    <t>10.1 Waiting room</t>
  </si>
  <si>
    <t>10.2 Train platform</t>
  </si>
  <si>
    <t>11.1 Office room</t>
  </si>
  <si>
    <t>11.2 Meeting room</t>
  </si>
  <si>
    <t>11.3 Waiting room</t>
  </si>
  <si>
    <t>12.1 Bedroom</t>
  </si>
  <si>
    <t>12.2 Living room</t>
  </si>
  <si>
    <t>• Mechanically ventilated or mixed-mode ventilated spaces:</t>
  </si>
  <si>
    <t>If the project follows requirements of a standard different from TCVN 5687:2010, calculations demonstrating compliance need to be submitted in a separate document.</t>
  </si>
  <si>
    <t>If the project follows requirements of TCVN 5687:2010, calculations should be completed in the table below. When different occupied spaces are supplied fresh air from one common system, the fresh air supply rate must be distributed appropriately to the different occupied spaces. The number of occupants should be the actual occupancy expected in the space.</t>
  </si>
  <si>
    <t>Select the compliance standard followed:</t>
  </si>
  <si>
    <t>If other, which standard?</t>
  </si>
  <si>
    <t>Space type</t>
  </si>
  <si>
    <r>
      <t>Minimum fresh air supply rate required
(m</t>
    </r>
    <r>
      <rPr>
        <vertAlign val="superscript"/>
        <sz val="10"/>
        <color indexed="9"/>
        <rFont val="Arial"/>
        <family val="2"/>
      </rPr>
      <t>3</t>
    </r>
    <r>
      <rPr>
        <sz val="10"/>
        <color indexed="9"/>
        <rFont val="Arial"/>
        <family val="2"/>
      </rPr>
      <t>/h)</t>
    </r>
  </si>
  <si>
    <r>
      <t>Fresh air supply rate (m</t>
    </r>
    <r>
      <rPr>
        <vertAlign val="superscript"/>
        <sz val="10"/>
        <color indexed="9"/>
        <rFont val="Arial"/>
        <family val="2"/>
      </rPr>
      <t>3</t>
    </r>
    <r>
      <rPr>
        <sz val="10"/>
        <color indexed="9"/>
        <rFont val="Arial"/>
        <family val="2"/>
      </rPr>
      <t>/h)</t>
    </r>
  </si>
  <si>
    <t>1. Hotels, motels</t>
  </si>
  <si>
    <t>1.4 Meeting room</t>
  </si>
  <si>
    <t>2. Laundry shops</t>
  </si>
  <si>
    <t>3. Restaurants, coffee shops</t>
  </si>
  <si>
    <t>4. Theaters</t>
  </si>
  <si>
    <t>5. Educational buildings</t>
  </si>
  <si>
    <t>6. Hospitals, clinics, retirement homes</t>
  </si>
  <si>
    <t>7. Sports and Entertainment</t>
  </si>
  <si>
    <t>8. Public spaces</t>
  </si>
  <si>
    <t>9. Special retail spaces</t>
  </si>
  <si>
    <t>10. Bus station, train station</t>
  </si>
  <si>
    <t>11. Administrative buildings</t>
  </si>
  <si>
    <t>12. Residential buildings</t>
  </si>
  <si>
    <t>% of net occupied area compliant</t>
  </si>
  <si>
    <t>For naturally ventilated spaces and mixed-mode ventilated spaces: submit all the documentation listed below at Certification stage:</t>
  </si>
  <si>
    <t>For mechanically ventilated spaces and mixed-mode ventilated spaces: submit all the documentation listed below at Certification stage:</t>
  </si>
  <si>
    <t>• As-built schematic mechanical drawings showing fresh air supply rates of AHUs and fans</t>
  </si>
  <si>
    <t>• Evidence of the HVAC equipment installed, such as photographs, invoices, receipts, commissioning report, etc</t>
  </si>
  <si>
    <t>If the project follows requirements of a standard different from TCVN 5687:201:
• Calculations demonstrating that the requirements of the recognised standard selected are met</t>
  </si>
  <si>
    <t>PROJECT GENERAL INFORMATION</t>
  </si>
  <si>
    <r>
      <t>Net habitable area (m</t>
    </r>
    <r>
      <rPr>
        <vertAlign val="superscript"/>
        <sz val="10"/>
        <rFont val="Arial"/>
        <family val="2"/>
      </rPr>
      <t>2</t>
    </r>
    <r>
      <rPr>
        <sz val="10"/>
        <rFont val="Arial"/>
        <family val="2"/>
      </rPr>
      <t>)</t>
    </r>
  </si>
  <si>
    <t>Calculations should consider all the habitable spaces in the building.</t>
  </si>
  <si>
    <r>
      <t>Total habitable area (m</t>
    </r>
    <r>
      <rPr>
        <vertAlign val="superscript"/>
        <sz val="10"/>
        <color indexed="9"/>
        <rFont val="Arial"/>
        <family val="2"/>
      </rPr>
      <t>2</t>
    </r>
    <r>
      <rPr>
        <sz val="10"/>
        <color indexed="9"/>
        <rFont val="Arial"/>
        <family val="2"/>
      </rPr>
      <t>)</t>
    </r>
  </si>
  <si>
    <t>Complete the Table below with information on all the habitable spaces with natural ventilation or mixed-mode ventilation (if any):</t>
  </si>
  <si>
    <t>Complete the Table below with information on all the habitable spaces with mechanical ventilation or mixed-mode ventilation (if any):</t>
  </si>
  <si>
    <t>Identify the following for Construction Worker Management:</t>
  </si>
  <si>
    <t>LOTUS Homes is part of the LOTUS Rating Systems 'family' which includes LOTUS Non-Residential, LOTUS Multi-family Residential, LOTUS Buildings in Operation, LOTUS Small Buildings, LOTUS Interiors and LOTUS Small Interiors.</t>
  </si>
  <si>
    <r>
      <rPr>
        <b/>
        <sz val="11"/>
        <rFont val="Calibri"/>
        <family val="2"/>
        <scheme val="minor"/>
      </rPr>
      <t xml:space="preserve">• </t>
    </r>
    <r>
      <rPr>
        <b/>
        <sz val="11"/>
        <color rgb="FF984806"/>
        <rFont val="Calibri"/>
        <family val="2"/>
        <scheme val="minor"/>
      </rPr>
      <t>Community and Management (CM)</t>
    </r>
    <r>
      <rPr>
        <sz val="11"/>
        <rFont val="Calibri"/>
        <family val="2"/>
        <scheme val="minor"/>
      </rPr>
      <t xml:space="preserve"> - To increase the awareness of how buildings affect the community and to ensure that, throughout the project, all targets set up are competently and effectively managed.</t>
    </r>
  </si>
  <si>
    <t>In LOTUS Homes, documents drawn by hand such as drawings, plans, elevations, etc. will be accepted by the Assessment Organization if they are signed and legible.</t>
  </si>
  <si>
    <t>APPLICANT INFORMATION</t>
  </si>
  <si>
    <t>Applicant</t>
  </si>
  <si>
    <t>Applicant Representative</t>
  </si>
  <si>
    <r>
      <t>Site area (m</t>
    </r>
    <r>
      <rPr>
        <vertAlign val="superscript"/>
        <sz val="10"/>
        <rFont val="Arial"/>
        <family val="2"/>
      </rPr>
      <t>2</t>
    </r>
    <r>
      <rPr>
        <sz val="10"/>
        <rFont val="Arial"/>
        <family val="2"/>
      </rPr>
      <t>)</t>
    </r>
  </si>
  <si>
    <r>
      <t>Building footprint (m</t>
    </r>
    <r>
      <rPr>
        <vertAlign val="superscript"/>
        <sz val="10"/>
        <rFont val="Arial"/>
        <family val="2"/>
      </rPr>
      <t>2</t>
    </r>
    <r>
      <rPr>
        <sz val="10"/>
        <rFont val="Arial"/>
        <family val="2"/>
      </rPr>
      <t>)</t>
    </r>
  </si>
  <si>
    <r>
      <t>Landscape area (m</t>
    </r>
    <r>
      <rPr>
        <vertAlign val="superscript"/>
        <sz val="10"/>
        <rFont val="Arial"/>
        <family val="2"/>
      </rPr>
      <t>2</t>
    </r>
    <r>
      <rPr>
        <sz val="10"/>
        <rFont val="Arial"/>
        <family val="2"/>
      </rPr>
      <t>)</t>
    </r>
  </si>
  <si>
    <r>
      <t>Hardscape area (m</t>
    </r>
    <r>
      <rPr>
        <vertAlign val="superscript"/>
        <sz val="10"/>
        <rFont val="Arial"/>
        <family val="2"/>
      </rPr>
      <t>2</t>
    </r>
    <r>
      <rPr>
        <sz val="10"/>
        <rFont val="Arial"/>
        <family val="2"/>
      </rPr>
      <t>)</t>
    </r>
  </si>
  <si>
    <r>
      <t>Gross Floor Area (m</t>
    </r>
    <r>
      <rPr>
        <vertAlign val="superscript"/>
        <sz val="11"/>
        <rFont val="Arial"/>
        <family val="2"/>
      </rPr>
      <t>2</t>
    </r>
    <r>
      <rPr>
        <sz val="11"/>
        <rFont val="Arial"/>
        <family val="2"/>
      </rPr>
      <t>)</t>
    </r>
  </si>
  <si>
    <t>Description of the project</t>
  </si>
  <si>
    <t>Please make sure to fully complete the Project information sheet before sending submissions.
Don't forget to select the correct stage of submissions.</t>
  </si>
  <si>
    <t>Certification Agreement is signed</t>
  </si>
  <si>
    <t>Assessment Fee has been paid</t>
  </si>
  <si>
    <t>Notification Form sent a minimum of 2 weeks before submissions</t>
  </si>
  <si>
    <t>Upload the zip file on a file hosting website (such as dropbox) and send the link by email -OR- include the file on a CD/flash drive and send by mail.</t>
  </si>
  <si>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incorporate design techniques that take advantage of the natural climate and site to minimize mechanical cooling in the building, while ensuring comfort for all occupants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25 of the LOTUS Homes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58B527"/>
        <rFont val="Arial"/>
        <family val="2"/>
      </rPr>
      <t xml:space="preserve">3 strategies </t>
    </r>
    <r>
      <rPr>
        <b/>
        <sz val="11"/>
        <color theme="1" tint="0.249977111117893"/>
        <rFont val="Arial"/>
        <family val="2"/>
      </rPr>
      <t xml:space="preserve">are available for this credit and they can all be followed at the same time with a </t>
    </r>
    <r>
      <rPr>
        <b/>
        <sz val="11"/>
        <color rgb="FF58B527"/>
        <rFont val="Arial"/>
        <family val="2"/>
      </rPr>
      <t xml:space="preserve">maximum of 5 points available. </t>
    </r>
    <r>
      <rPr>
        <b/>
        <sz val="11"/>
        <color theme="1" tint="0.249977111117893"/>
        <rFont val="Arial"/>
        <family val="2"/>
      </rPr>
      <t xml:space="preserve">
Read all the instructions and complete the information on passive design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</si>
  <si>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ensure proper application of materials and techniques to the construction of the building envelope to optimise the thermal performance of the building.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29 of the LOTUS Homes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theme="1" tint="0.249977111117893"/>
        <rFont val="Arial"/>
        <family val="2"/>
      </rPr>
      <t xml:space="preserve">Choose to follow either the Prescriptive Path </t>
    </r>
    <r>
      <rPr>
        <b/>
        <sz val="11"/>
        <color rgb="FFFF0000"/>
        <rFont val="Arial"/>
        <family val="2"/>
      </rPr>
      <t>OR</t>
    </r>
    <r>
      <rPr>
        <b/>
        <sz val="11"/>
        <color theme="1" tint="0.249977111117893"/>
        <rFont val="Arial"/>
        <family val="2"/>
      </rPr>
      <t xml:space="preserve"> the Performance Path
In each path, different strategies can be followed with a maximum of 4 points available. Read all the instructions and complete the information in the light red-coloured cells.</t>
    </r>
  </si>
  <si>
    <t xml:space="preserve">E-7 Energy Monitor </t>
  </si>
  <si>
    <t>E-7 Energy Monitor</t>
  </si>
  <si>
    <t>Below are the provisional results of the project. These results are only indicative. 
Actual results will only be given after the submitted documentation has been assessed and the compliance of all the credits targeted has been verified.</t>
  </si>
  <si>
    <r>
      <rPr>
        <b/>
        <u/>
        <sz val="11"/>
        <color theme="1" tint="0.249977111117893"/>
        <rFont val="Arial"/>
        <family val="2"/>
      </rPr>
      <t>Aim:</t>
    </r>
    <r>
      <rPr>
        <sz val="11"/>
        <color theme="1" tint="0.249977111117893"/>
        <rFont val="Arial"/>
        <family val="2"/>
      </rPr>
      <t xml:space="preserve"> To encourage and recognise developments that use sustainable materials for building structure.
</t>
    </r>
    <r>
      <rPr>
        <b/>
        <u/>
        <sz val="11"/>
        <color theme="1" tint="0.249977111117893"/>
        <rFont val="Arial"/>
        <family val="2"/>
      </rPr>
      <t>Reference:</t>
    </r>
    <r>
      <rPr>
        <sz val="11"/>
        <color theme="1" tint="0.249977111117893"/>
        <rFont val="Arial"/>
        <family val="2"/>
      </rPr>
      <t xml:space="preserve"> Page 50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structure materials in the light red-coloured cells.</t>
    </r>
  </si>
  <si>
    <r>
      <rPr>
        <b/>
        <u/>
        <sz val="11"/>
        <color theme="1" tint="0.249977111117893"/>
        <rFont val="Arial"/>
        <family val="2"/>
      </rPr>
      <t>Aim:</t>
    </r>
    <r>
      <rPr>
        <sz val="11"/>
        <color theme="1" tint="0.249977111117893"/>
        <rFont val="Arial"/>
        <family val="2"/>
      </rPr>
      <t xml:space="preserve"> To encourage and recognise developments that use sustainable materials for building structure.
</t>
    </r>
    <r>
      <rPr>
        <b/>
        <u/>
        <sz val="11"/>
        <color theme="1" tint="0.249977111117893"/>
        <rFont val="Arial"/>
        <family val="2"/>
      </rPr>
      <t>Reference:</t>
    </r>
    <r>
      <rPr>
        <sz val="11"/>
        <color theme="1" tint="0.249977111117893"/>
        <rFont val="Arial"/>
        <family val="2"/>
      </rPr>
      <t xml:space="preserve"> Page 52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non-structural walls materials in the light red-coloured cells.</t>
    </r>
  </si>
  <si>
    <r>
      <rPr>
        <b/>
        <u/>
        <sz val="11"/>
        <color theme="1" tint="0.249977111117893"/>
        <rFont val="Arial"/>
        <family val="2"/>
      </rPr>
      <t>Aim:</t>
    </r>
    <r>
      <rPr>
        <sz val="11"/>
        <color theme="1" tint="0.249977111117893"/>
        <rFont val="Arial"/>
        <family val="2"/>
      </rPr>
      <t xml:space="preserve"> To encourage and recognise developments that use sustainable materials for windows and doors.
</t>
    </r>
    <r>
      <rPr>
        <b/>
        <u/>
        <sz val="11"/>
        <color theme="1" tint="0.249977111117893"/>
        <rFont val="Arial"/>
        <family val="2"/>
      </rPr>
      <t>Reference:</t>
    </r>
    <r>
      <rPr>
        <sz val="11"/>
        <color theme="1" tint="0.249977111117893"/>
        <rFont val="Arial"/>
        <family val="2"/>
      </rPr>
      <t xml:space="preserve"> Page 54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windows and doors in the light red-coloured cells.</t>
    </r>
  </si>
  <si>
    <r>
      <rPr>
        <b/>
        <u/>
        <sz val="11"/>
        <color theme="1" tint="0.249977111117893"/>
        <rFont val="Arial"/>
        <family val="2"/>
      </rPr>
      <t>Aim:</t>
    </r>
    <r>
      <rPr>
        <sz val="11"/>
        <color theme="1" tint="0.249977111117893"/>
        <rFont val="Arial"/>
        <family val="2"/>
      </rPr>
      <t xml:space="preserve"> To encourage and recognise developments that use sustainable flooring materials.
</t>
    </r>
    <r>
      <rPr>
        <b/>
        <u/>
        <sz val="11"/>
        <color theme="1" tint="0.249977111117893"/>
        <rFont val="Arial"/>
        <family val="2"/>
      </rPr>
      <t>Reference:</t>
    </r>
    <r>
      <rPr>
        <sz val="11"/>
        <color theme="1" tint="0.249977111117893"/>
        <rFont val="Arial"/>
        <family val="2"/>
      </rPr>
      <t xml:space="preserve"> Page 56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flooring materials in the light red-coloured cells.</t>
    </r>
  </si>
  <si>
    <r>
      <rPr>
        <b/>
        <u/>
        <sz val="11"/>
        <color theme="1" tint="0.249977111117893"/>
        <rFont val="Arial"/>
        <family val="2"/>
      </rPr>
      <t>Aim:</t>
    </r>
    <r>
      <rPr>
        <sz val="11"/>
        <color theme="1" tint="0.249977111117893"/>
        <rFont val="Arial"/>
        <family val="2"/>
      </rPr>
      <t xml:space="preserve"> To encourage and recognise developments that use sustainable roofing materials.
</t>
    </r>
    <r>
      <rPr>
        <b/>
        <u/>
        <sz val="11"/>
        <color theme="1" tint="0.249977111117893"/>
        <rFont val="Arial"/>
        <family val="2"/>
      </rPr>
      <t>Reference:</t>
    </r>
    <r>
      <rPr>
        <sz val="11"/>
        <color theme="1" tint="0.249977111117893"/>
        <rFont val="Arial"/>
        <family val="2"/>
      </rPr>
      <t xml:space="preserve"> Page 58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roofing materials in the light red-coloured cells.</t>
    </r>
  </si>
  <si>
    <r>
      <rPr>
        <b/>
        <u/>
        <sz val="11"/>
        <color theme="1" tint="0.249977111117893"/>
        <rFont val="Arial"/>
        <family val="2"/>
      </rPr>
      <t>Aim:</t>
    </r>
    <r>
      <rPr>
        <sz val="11"/>
        <color theme="1" tint="0.249977111117893"/>
        <rFont val="Arial"/>
        <family val="2"/>
      </rPr>
      <t xml:space="preserve"> To encourage and recognise developments that use sustainable materials for furniture.
</t>
    </r>
    <r>
      <rPr>
        <b/>
        <u/>
        <sz val="11"/>
        <color theme="1" tint="0.249977111117893"/>
        <rFont val="Arial"/>
        <family val="2"/>
      </rPr>
      <t>Reference:</t>
    </r>
    <r>
      <rPr>
        <sz val="11"/>
        <color theme="1" tint="0.249977111117893"/>
        <rFont val="Arial"/>
        <family val="2"/>
      </rPr>
      <t xml:space="preserve"> Page 60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furniture items in the light red-coloured cells.</t>
    </r>
  </si>
  <si>
    <r>
      <rPr>
        <b/>
        <u/>
        <sz val="11"/>
        <color theme="1" tint="0.249977111117893"/>
        <rFont val="Arial"/>
        <family val="2"/>
      </rPr>
      <t>Aim:</t>
    </r>
    <r>
      <rPr>
        <sz val="11"/>
        <color theme="1" tint="0.249977111117893"/>
        <rFont val="Arial"/>
        <family val="2"/>
      </rPr>
      <t xml:space="preserve"> To ensure the provision of enough fresh air to maintain good indoor air quality during occupancy.
</t>
    </r>
    <r>
      <rPr>
        <b/>
        <u/>
        <sz val="11"/>
        <color theme="1" tint="0.249977111117893"/>
        <rFont val="Arial"/>
        <family val="2"/>
      </rPr>
      <t>Reference:</t>
    </r>
    <r>
      <rPr>
        <sz val="11"/>
        <color theme="1" tint="0.249977111117893"/>
        <rFont val="Arial"/>
        <family val="2"/>
      </rPr>
      <t xml:space="preserve"> Page 64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fresh air supply in the light red-coloured cells.</t>
    </r>
  </si>
  <si>
    <r>
      <rPr>
        <b/>
        <u/>
        <sz val="11"/>
        <color theme="1" tint="0.249977111117893"/>
        <rFont val="Arial"/>
        <family val="2"/>
      </rPr>
      <t>Aim:</t>
    </r>
    <r>
      <rPr>
        <sz val="11"/>
        <color theme="1" tint="0.249977111117893"/>
        <rFont val="Arial"/>
        <family val="2"/>
      </rPr>
      <t xml:space="preserve"> To reduce moisture and odours from wet area by making sure to install exhaust fans with a sufficient capacity (L/s). 
</t>
    </r>
    <r>
      <rPr>
        <b/>
        <u/>
        <sz val="11"/>
        <color theme="1" tint="0.249977111117893"/>
        <rFont val="Arial"/>
        <family val="2"/>
      </rPr>
      <t>Reference:</t>
    </r>
    <r>
      <rPr>
        <sz val="11"/>
        <color theme="1" tint="0.249977111117893"/>
        <rFont val="Arial"/>
        <family val="2"/>
      </rPr>
      <t xml:space="preserve"> Page 67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</si>
  <si>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b/>
        <sz val="11"/>
        <color theme="1" tint="0.249977111117893"/>
        <rFont val="Arial"/>
        <family val="2"/>
      </rPr>
      <t>:</t>
    </r>
    <r>
      <rPr>
        <sz val="11"/>
        <color theme="1" tint="0.249977111117893"/>
        <rFont val="Arial"/>
        <family val="2"/>
      </rPr>
      <t xml:space="preserve"> To minimize the negative impacts of volatile organic compounds (VOCs) &amp; formaldehydes from building materials on occupant’s health.
</t>
    </r>
    <r>
      <rPr>
        <b/>
        <u/>
        <sz val="11"/>
        <color theme="1" tint="0.249977111117893"/>
        <rFont val="Arial"/>
        <family val="2"/>
      </rPr>
      <t>Reference</t>
    </r>
    <r>
      <rPr>
        <b/>
        <sz val="11"/>
        <color theme="1" tint="0.249977111117893"/>
        <rFont val="Arial"/>
        <family val="2"/>
      </rPr>
      <t>:</t>
    </r>
    <r>
      <rPr>
        <sz val="11"/>
        <color theme="1" tint="0.249977111117893"/>
        <rFont val="Arial"/>
        <family val="2"/>
      </rPr>
      <t xml:space="preserve"> Page 69 of the LOTUS Homes V1 Technical Manual
</t>
    </r>
    <r>
      <rPr>
        <b/>
        <u/>
        <sz val="11"/>
        <color theme="1" tint="0.249977111117893"/>
        <rFont val="Arial"/>
        <family val="2"/>
      </rPr>
      <t>Instructions</t>
    </r>
    <r>
      <rPr>
        <b/>
        <sz val="11"/>
        <color theme="1" tint="0.249977111117893"/>
        <rFont val="Arial"/>
        <family val="2"/>
      </rPr>
      <t>:</t>
    </r>
    <r>
      <rPr>
        <sz val="11"/>
        <color theme="1" tint="0.249977111117893"/>
        <rFont val="Arial"/>
        <family val="2"/>
      </rPr>
      <t xml:space="preserve"> </t>
    </r>
    <r>
      <rPr>
        <b/>
        <sz val="11"/>
        <color rgb="FF943634"/>
        <rFont val="Arial"/>
        <family val="2"/>
      </rPr>
      <t>5 strategies</t>
    </r>
    <r>
      <rPr>
        <b/>
        <sz val="11"/>
        <color theme="1" tint="0.249977111117893"/>
        <rFont val="Arial"/>
        <family val="2"/>
      </rPr>
      <t xml:space="preserve"> are available for this credit and and they can all be followed at the same time with a </t>
    </r>
    <r>
      <rPr>
        <b/>
        <sz val="11"/>
        <color rgb="FF943634"/>
        <rFont val="Arial"/>
        <family val="2"/>
      </rPr>
      <t>maximum of 4 points available</t>
    </r>
    <r>
      <rPr>
        <b/>
        <sz val="11"/>
        <color theme="1" tint="0.249977111117893"/>
        <rFont val="Arial"/>
        <family val="2"/>
      </rPr>
      <t>.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</si>
  <si>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encourage building designs which maximize the use of daylight.
</t>
    </r>
    <r>
      <rPr>
        <b/>
        <u/>
        <sz val="11"/>
        <color theme="1" tint="0.249977111117893"/>
        <rFont val="Arial"/>
        <family val="2"/>
      </rPr>
      <t>Reference:</t>
    </r>
    <r>
      <rPr>
        <sz val="11"/>
        <color theme="1" tint="0.249977111117893"/>
        <rFont val="Arial"/>
        <family val="2"/>
      </rPr>
      <t xml:space="preserve"> Page 72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 xml:space="preserve">Choose to follow either the Prescriptive Path </t>
    </r>
    <r>
      <rPr>
        <b/>
        <sz val="11"/>
        <color rgb="FFFF0000"/>
        <rFont val="Arial"/>
        <family val="2"/>
      </rPr>
      <t>OR</t>
    </r>
    <r>
      <rPr>
        <b/>
        <sz val="11"/>
        <color theme="1" tint="0.249977111117893"/>
        <rFont val="Arial"/>
        <family val="2"/>
      </rPr>
      <t xml:space="preserve"> the Performance Path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</si>
  <si>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provide a comfortable acoustic environment for occupants.
</t>
    </r>
    <r>
      <rPr>
        <b/>
        <u/>
        <sz val="11"/>
        <color theme="1" tint="0.249977111117893"/>
        <rFont val="Arial"/>
        <family val="2"/>
      </rPr>
      <t>Reference:</t>
    </r>
    <r>
      <rPr>
        <sz val="11"/>
        <color theme="1" tint="0.249977111117893"/>
        <rFont val="Arial"/>
        <family val="2"/>
      </rPr>
      <t xml:space="preserve"> Page 75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the instructions, complete the information and submit calculations showing compliance with TCXDVN standard on sound insulation.</t>
    </r>
  </si>
  <si>
    <r>
      <rPr>
        <b/>
        <u/>
        <sz val="11"/>
        <color theme="1" tint="0.249977111117893"/>
        <rFont val="Arial"/>
        <family val="2"/>
      </rPr>
      <t>Reference:</t>
    </r>
    <r>
      <rPr>
        <sz val="11"/>
        <color theme="1" tint="0.249977111117893"/>
        <rFont val="Arial"/>
        <family val="2"/>
      </rPr>
      <t xml:space="preserve"> Page 126-130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</si>
  <si>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t>• If yes, do they all have doors?</t>
  </si>
  <si>
    <r>
      <rPr>
        <b/>
        <u/>
        <sz val="11"/>
        <color theme="1" tint="0.249977111117893"/>
        <rFont val="Arial"/>
        <family val="2"/>
      </rPr>
      <t>Aim:</t>
    </r>
    <r>
      <rPr>
        <sz val="11"/>
        <color theme="1" tint="0.249977111117893"/>
        <rFont val="Arial"/>
        <family val="2"/>
      </rPr>
      <t xml:space="preserve"> To encourage development to occur in suitable locations that will reduce harm on the natural environment and promote the health and wellbeing of occupants.
</t>
    </r>
    <r>
      <rPr>
        <b/>
        <u/>
        <sz val="11"/>
        <color theme="1" tint="0.249977111117893"/>
        <rFont val="Arial"/>
        <family val="2"/>
      </rPr>
      <t>Reference:</t>
    </r>
    <r>
      <rPr>
        <sz val="11"/>
        <color theme="1" tint="0.249977111117893"/>
        <rFont val="Arial"/>
        <family val="2"/>
      </rPr>
      <t xml:space="preserve"> Page 80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4 strategies are available for this credit and and they can all be followed at the same time.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</si>
  <si>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analyse and consider the site layout in order to preserve existing vegetation and minimise building footprint.
</t>
    </r>
    <r>
      <rPr>
        <b/>
        <u/>
        <sz val="11"/>
        <color theme="1" tint="0.249977111117893"/>
        <rFont val="Arial"/>
        <family val="2"/>
      </rPr>
      <t>Reference:</t>
    </r>
    <r>
      <rPr>
        <sz val="11"/>
        <color theme="1" tint="0.249977111117893"/>
        <rFont val="Arial"/>
        <family val="2"/>
      </rPr>
      <t xml:space="preserve"> Page 84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2 strategies are available for this credit and both strategies can be followed at the same time.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</si>
  <si>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restore site areas into habitat that can nourish and sustain biodiversity
</t>
    </r>
    <r>
      <rPr>
        <b/>
        <u/>
        <sz val="11"/>
        <color theme="1" tint="0.249977111117893"/>
        <rFont val="Arial"/>
        <family val="2"/>
      </rPr>
      <t>Reference:</t>
    </r>
    <r>
      <rPr>
        <sz val="11"/>
        <color theme="1" tint="0.249977111117893"/>
        <rFont val="Arial"/>
        <family val="2"/>
      </rPr>
      <t xml:space="preserve"> Page 87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2 strategies are available for this credit and both strategies can be followed at the same time with a maximum of 2 points available
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</si>
  <si>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reduce the urban heat island effect from the proposed development.
</t>
    </r>
    <r>
      <rPr>
        <b/>
        <u/>
        <sz val="11"/>
        <color theme="1" tint="0.249977111117893"/>
        <rFont val="Arial"/>
        <family val="2"/>
      </rPr>
      <t>Reference:</t>
    </r>
    <r>
      <rPr>
        <sz val="11"/>
        <color theme="1" tint="0.249977111117893"/>
        <rFont val="Arial"/>
        <family val="2"/>
      </rPr>
      <t xml:space="preserve"> Page 90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</si>
  <si>
    <r>
      <rPr>
        <b/>
        <u/>
        <sz val="11"/>
        <color theme="1" tint="0.249977111117893"/>
        <rFont val="Arial"/>
        <family val="2"/>
      </rPr>
      <t>Aim:</t>
    </r>
    <r>
      <rPr>
        <sz val="11"/>
        <color theme="1" tint="0.249977111117893"/>
        <rFont val="Arial"/>
        <family val="2"/>
      </rPr>
      <t xml:space="preserve"> To improve perviousness of site surfaces, thus reduce temporary load to municipal drainage system and improve groundwater recharge.
</t>
    </r>
    <r>
      <rPr>
        <b/>
        <u/>
        <sz val="11"/>
        <color theme="1" tint="0.249977111117893"/>
        <rFont val="Arial"/>
        <family val="2"/>
      </rPr>
      <t>Reference:</t>
    </r>
    <r>
      <rPr>
        <sz val="11"/>
        <color theme="1" tint="0.249977111117893"/>
        <rFont val="Arial"/>
        <family val="2"/>
      </rPr>
      <t xml:space="preserve"> Page 93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 xml:space="preserve">Read all the instructions and complete the information on storm water runoff in the light red-coloured cells. </t>
    </r>
  </si>
  <si>
    <r>
      <rPr>
        <b/>
        <u/>
        <sz val="11"/>
        <color theme="1" tint="0.249977111117893"/>
        <rFont val="Arial"/>
        <family val="2"/>
      </rPr>
      <t>Aim:</t>
    </r>
    <r>
      <rPr>
        <sz val="11"/>
        <color theme="1" tint="0.249977111117893"/>
        <rFont val="Arial"/>
        <family val="2"/>
      </rPr>
      <t xml:space="preserve"> To encourage flood resistant designs and building features to adapt to climate change.
</t>
    </r>
    <r>
      <rPr>
        <b/>
        <u/>
        <sz val="11"/>
        <color theme="1" tint="0.249977111117893"/>
        <rFont val="Arial"/>
        <family val="2"/>
      </rPr>
      <t>Reference:</t>
    </r>
    <r>
      <rPr>
        <sz val="11"/>
        <color theme="1" tint="0.249977111117893"/>
        <rFont val="Arial"/>
        <family val="2"/>
      </rPr>
      <t xml:space="preserve"> Page 95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 xml:space="preserve">Read all the instructions and complete the information in the light red-coloured cells. </t>
    </r>
  </si>
  <si>
    <r>
      <rPr>
        <b/>
        <u/>
        <sz val="11"/>
        <color theme="1" tint="0.249977111117893"/>
        <rFont val="Arial"/>
        <family val="2"/>
      </rPr>
      <t>Aim:</t>
    </r>
    <r>
      <rPr>
        <sz val="11"/>
        <color theme="1" tint="0.249977111117893"/>
        <rFont val="Arial"/>
        <family val="2"/>
      </rPr>
      <t xml:space="preserve"> To encourage the selection and use of refrigerants that do not increase global warming nor damage the ozone layer.
</t>
    </r>
    <r>
      <rPr>
        <b/>
        <u/>
        <sz val="11"/>
        <color theme="1" tint="0.249977111117893"/>
        <rFont val="Arial"/>
        <family val="2"/>
      </rPr>
      <t>Reference:</t>
    </r>
    <r>
      <rPr>
        <sz val="11"/>
        <color theme="1" tint="0.249977111117893"/>
        <rFont val="Arial"/>
        <family val="2"/>
      </rPr>
      <t xml:space="preserve"> Page 97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in the light red-coloured cells.</t>
    </r>
    <r>
      <rPr>
        <sz val="11"/>
        <color theme="1" tint="0.249977111117893"/>
        <rFont val="Arial"/>
        <family val="2"/>
      </rPr>
      <t xml:space="preserve"> </t>
    </r>
  </si>
  <si>
    <r>
      <rPr>
        <b/>
        <u/>
        <sz val="11"/>
        <color theme="1" tint="0.249977111117893"/>
        <rFont val="Arial"/>
        <family val="2"/>
      </rPr>
      <t>Aim:</t>
    </r>
    <r>
      <rPr>
        <sz val="11"/>
        <color theme="1" tint="0.249977111117893"/>
        <rFont val="Arial"/>
        <family val="2"/>
      </rPr>
      <t xml:space="preserve"> To implement waste sorting and facilitate the recycling and reuse of waste
</t>
    </r>
    <r>
      <rPr>
        <b/>
        <u/>
        <sz val="11"/>
        <color theme="1" tint="0.249977111117893"/>
        <rFont val="Arial"/>
        <family val="2"/>
      </rPr>
      <t>Reference:</t>
    </r>
    <r>
      <rPr>
        <sz val="11"/>
        <color theme="1" tint="0.249977111117893"/>
        <rFont val="Arial"/>
        <family val="2"/>
      </rPr>
      <t xml:space="preserve"> Page 99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 xml:space="preserve">Read all the instructions and complete the information in the light red-coloured cells. </t>
    </r>
  </si>
  <si>
    <r>
      <rPr>
        <b/>
        <u/>
        <sz val="11"/>
        <color theme="1" tint="0.249977111117893"/>
        <rFont val="Arial"/>
        <family val="2"/>
      </rPr>
      <t>Aim:</t>
    </r>
    <r>
      <rPr>
        <sz val="11"/>
        <color theme="1" tint="0.249977111117893"/>
        <rFont val="Arial"/>
        <family val="2"/>
      </rPr>
      <t xml:space="preserve"> To reduce the amount of waste sent to landfills and to improve soil quality.
</t>
    </r>
    <r>
      <rPr>
        <b/>
        <u/>
        <sz val="11"/>
        <color theme="1" tint="0.249977111117893"/>
        <rFont val="Arial"/>
        <family val="2"/>
      </rPr>
      <t>Reference:</t>
    </r>
    <r>
      <rPr>
        <sz val="11"/>
        <color theme="1" tint="0.249977111117893"/>
        <rFont val="Arial"/>
        <family val="2"/>
      </rPr>
      <t xml:space="preserve"> Page 131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composting in the light red-coloured cells.</t>
    </r>
  </si>
  <si>
    <r>
      <rPr>
        <b/>
        <u/>
        <sz val="11"/>
        <color theme="1" tint="0.249977111117893"/>
        <rFont val="Arial"/>
        <family val="2"/>
      </rPr>
      <t>Aim:</t>
    </r>
    <r>
      <rPr>
        <sz val="11"/>
        <color theme="1" tint="0.249977111117893"/>
        <rFont val="Arial"/>
        <family val="2"/>
      </rPr>
      <t xml:space="preserve"> To ensure all sustainable design aspects are identified and planned for at the earliest stage of the project.
</t>
    </r>
    <r>
      <rPr>
        <b/>
        <u/>
        <sz val="11"/>
        <color theme="1" tint="0.249977111117893"/>
        <rFont val="Arial"/>
        <family val="2"/>
      </rPr>
      <t>Reference:</t>
    </r>
    <r>
      <rPr>
        <sz val="11"/>
        <color theme="1" tint="0.249977111117893"/>
        <rFont val="Arial"/>
        <family val="2"/>
      </rPr>
      <t xml:space="preserve"> Page 102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complete the information on the Eco-Charrette in the light red-coloured cells.</t>
    </r>
  </si>
  <si>
    <r>
      <rPr>
        <b/>
        <u/>
        <sz val="11"/>
        <color theme="1" tint="0.249977111117893"/>
        <rFont val="Arial"/>
        <family val="2"/>
      </rPr>
      <t>Aim:</t>
    </r>
    <r>
      <rPr>
        <sz val="11"/>
        <color theme="1" tint="0.249977111117893"/>
        <rFont val="Arial"/>
        <family val="2"/>
      </rPr>
      <t xml:space="preserve"> To improve the construction practices on development sites to minimize the impact of construction on the local environment and surrounding land users.
</t>
    </r>
    <r>
      <rPr>
        <b/>
        <u/>
        <sz val="11"/>
        <color theme="1" tint="0.249977111117893"/>
        <rFont val="Arial"/>
        <family val="2"/>
      </rPr>
      <t>Reference:</t>
    </r>
    <r>
      <rPr>
        <sz val="11"/>
        <color theme="1" tint="0.249977111117893"/>
        <rFont val="Arial"/>
        <family val="2"/>
      </rPr>
      <t xml:space="preserve"> Page 104 of the LOTUS Homes V1 Technical Manual
</t>
    </r>
    <r>
      <rPr>
        <b/>
        <u/>
        <sz val="11"/>
        <color theme="1" tint="0.249977111117893"/>
        <rFont val="Arial"/>
        <family val="2"/>
      </rPr>
      <t>Instructions:</t>
    </r>
    <r>
      <rPr>
        <sz val="11"/>
        <color theme="1" tint="0.249977111117893"/>
        <rFont val="Arial"/>
        <family val="2"/>
      </rPr>
      <t xml:space="preserve"> </t>
    </r>
    <r>
      <rPr>
        <b/>
        <sz val="11"/>
        <color rgb="FF984806"/>
        <rFont val="Arial"/>
        <family val="2"/>
      </rPr>
      <t>5 strategies</t>
    </r>
    <r>
      <rPr>
        <b/>
        <sz val="11"/>
        <color theme="1" tint="0.249977111117893"/>
        <rFont val="Arial"/>
        <family val="2"/>
      </rPr>
      <t xml:space="preserve"> are available for this credit and they can all be followed at the same time. 
Read all the instructions and complete the relevant information in the light red-coloured cells.</t>
    </r>
  </si>
  <si>
    <r>
      <rPr>
        <b/>
        <u/>
        <sz val="11"/>
        <color theme="1" tint="0.249977111117893"/>
        <rFont val="Arial"/>
        <family val="2"/>
      </rPr>
      <t>Aim:</t>
    </r>
    <r>
      <rPr>
        <sz val="11"/>
        <color theme="1" tint="0.249977111117893"/>
        <rFont val="Arial"/>
        <family val="2"/>
      </rPr>
      <t xml:space="preserve"> To ensure that the completed development is managed in a sustainable manner.
</t>
    </r>
    <r>
      <rPr>
        <b/>
        <u/>
        <sz val="11"/>
        <color theme="1" tint="0.249977111117893"/>
        <rFont val="Arial"/>
        <family val="2"/>
      </rPr>
      <t>Reference:</t>
    </r>
    <r>
      <rPr>
        <sz val="11"/>
        <color theme="1" tint="0.249977111117893"/>
        <rFont val="Arial"/>
        <family val="2"/>
      </rPr>
      <t xml:space="preserve"> Page 107 of the LOTUS Homes V1 Technical Manual
</t>
    </r>
    <r>
      <rPr>
        <b/>
        <u/>
        <sz val="11"/>
        <color theme="1" tint="0.249977111117893"/>
        <rFont val="Arial"/>
        <family val="2"/>
      </rPr>
      <t>Instructions:</t>
    </r>
    <r>
      <rPr>
        <sz val="11"/>
        <color theme="1" tint="0.249977111117893"/>
        <rFont val="Arial"/>
        <family val="2"/>
      </rPr>
      <t xml:space="preserve"> </t>
    </r>
    <r>
      <rPr>
        <b/>
        <sz val="11"/>
        <color theme="1" tint="0.249977111117893"/>
        <rFont val="Arial"/>
        <family val="2"/>
      </rPr>
      <t>Read all the instructions and reply to the questions by ticking the boxes in the light red-coloured cells.</t>
    </r>
  </si>
  <si>
    <t>Please make sure the checklist below is completed before sending submissions for Certification.</t>
  </si>
  <si>
    <t>Please make sure the checklist below is completed before sending submissions for Pre-assessment.</t>
  </si>
  <si>
    <t>Refurbishment projects and individual villas built in developments such as resorts are also eligible for LOTUS Homes.</t>
  </si>
  <si>
    <t>8th Floor, Hanoi Creative City Building, 01 Luong Yen, Hai Ba Trung, Hanoi, Vietnam</t>
  </si>
  <si>
    <t>Last updated on the 15/09/2018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</si>
</sst>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
    <numFmt numFmtId="165" formatCode="0.0"/>
    <numFmt numFmtId="166" formatCode="#,##0.0"/>
    <numFmt numFmtId="167" formatCode="[$-409]mmmm\-yy;@"/>
    <numFmt numFmtId="168" formatCode="#,##0.000"/>
    <numFmt numFmtId="169" formatCode="0.000"/>
  </numFmts>
  <fonts count="183" x14ac:knownFonts="1">
    <font>
      <sz val="11"/>
      <color theme="1"/>
      <name val="Calibri"/>
      <family val="2"/>
      <scheme val="minor"/>
    </font>
    <font>
      <sz val="11"/>
      <color theme="1"/>
      <name val="Calibri"/>
      <family val="2"/>
      <scheme val="minor"/>
    </font>
    <font>
      <sz val="10"/>
      <name val="Arial"/>
      <family val="2"/>
    </font>
    <font>
      <b/>
      <sz val="14"/>
      <name val="Arial"/>
      <family val="2"/>
    </font>
    <font>
      <b/>
      <sz val="11"/>
      <color theme="0"/>
      <name val="Arial"/>
      <family val="2"/>
    </font>
    <font>
      <b/>
      <sz val="12"/>
      <color theme="0"/>
      <name val="Arial"/>
      <family val="2"/>
    </font>
    <font>
      <b/>
      <sz val="11"/>
      <name val="Arial"/>
      <family val="2"/>
    </font>
    <font>
      <sz val="10"/>
      <color rgb="FFFF0000"/>
      <name val="Arial"/>
      <family val="2"/>
    </font>
    <font>
      <sz val="11"/>
      <name val="Arial"/>
      <family val="2"/>
    </font>
    <font>
      <b/>
      <sz val="18"/>
      <color indexed="9"/>
      <name val="Arial"/>
      <family val="2"/>
    </font>
    <font>
      <b/>
      <sz val="12"/>
      <color indexed="9"/>
      <name val="Arial"/>
      <family val="2"/>
    </font>
    <font>
      <sz val="10"/>
      <color theme="0"/>
      <name val="Arial"/>
      <family val="2"/>
    </font>
    <font>
      <vertAlign val="superscript"/>
      <sz val="10"/>
      <color theme="0"/>
      <name val="Arial"/>
      <family val="2"/>
    </font>
    <font>
      <sz val="10"/>
      <color indexed="9"/>
      <name val="Arial"/>
      <family val="2"/>
    </font>
    <font>
      <sz val="10"/>
      <color theme="1"/>
      <name val="Arial"/>
      <family val="2"/>
    </font>
    <font>
      <vertAlign val="superscript"/>
      <sz val="10"/>
      <color indexed="9"/>
      <name val="Arial"/>
      <family val="2"/>
    </font>
    <font>
      <b/>
      <sz val="14"/>
      <color indexed="9"/>
      <name val="Arial"/>
      <family val="2"/>
    </font>
    <font>
      <sz val="11"/>
      <color theme="0"/>
      <name val="Arial"/>
      <family val="2"/>
    </font>
    <font>
      <vertAlign val="superscript"/>
      <sz val="11"/>
      <color theme="0"/>
      <name val="Arial"/>
      <family val="2"/>
    </font>
    <font>
      <sz val="11"/>
      <color theme="1"/>
      <name val="Arial"/>
      <family val="2"/>
    </font>
    <font>
      <b/>
      <sz val="10"/>
      <color theme="0"/>
      <name val="Arial"/>
      <family val="2"/>
    </font>
    <font>
      <i/>
      <sz val="10"/>
      <name val="Arial"/>
      <family val="2"/>
    </font>
    <font>
      <b/>
      <sz val="10"/>
      <name val="Arial"/>
      <family val="2"/>
    </font>
    <font>
      <sz val="9"/>
      <color indexed="81"/>
      <name val="Tahoma"/>
      <family val="2"/>
    </font>
    <font>
      <b/>
      <sz val="20"/>
      <color indexed="9"/>
      <name val="Arial"/>
      <family val="2"/>
    </font>
    <font>
      <sz val="8"/>
      <name val="Arial"/>
      <family val="2"/>
    </font>
    <font>
      <u/>
      <sz val="22"/>
      <color rgb="FF58B527"/>
      <name val="Calibri"/>
      <family val="2"/>
      <scheme val="minor"/>
    </font>
    <font>
      <sz val="22"/>
      <color rgb="FF58B527"/>
      <name val="Calibri"/>
      <family val="2"/>
      <scheme val="minor"/>
    </font>
    <font>
      <u/>
      <sz val="11"/>
      <color theme="10"/>
      <name val="Calibri"/>
      <family val="2"/>
      <scheme val="minor"/>
    </font>
    <font>
      <b/>
      <sz val="9"/>
      <name val="Arial"/>
      <family val="2"/>
    </font>
    <font>
      <b/>
      <sz val="9"/>
      <color indexed="9"/>
      <name val="Arial"/>
      <family val="2"/>
    </font>
    <font>
      <sz val="9"/>
      <color theme="0"/>
      <name val="Arial"/>
      <family val="2"/>
    </font>
    <font>
      <b/>
      <sz val="8"/>
      <name val="Arial"/>
      <family val="2"/>
    </font>
    <font>
      <sz val="9"/>
      <name val="Arial"/>
      <family val="2"/>
    </font>
    <font>
      <sz val="10"/>
      <color theme="1"/>
      <name val="Symbol"/>
      <family val="1"/>
      <charset val="2"/>
    </font>
    <font>
      <vertAlign val="subscript"/>
      <sz val="10"/>
      <color indexed="9"/>
      <name val="Arial"/>
      <family val="2"/>
    </font>
    <font>
      <sz val="11"/>
      <color indexed="8"/>
      <name val="Calibri"/>
      <family val="2"/>
    </font>
    <font>
      <sz val="11"/>
      <color indexed="9"/>
      <name val="Arial"/>
      <family val="2"/>
    </font>
    <font>
      <sz val="12"/>
      <color indexed="9"/>
      <name val="Arial"/>
      <family val="2"/>
    </font>
    <font>
      <sz val="11"/>
      <color theme="0"/>
      <name val="Calibri"/>
      <family val="2"/>
      <scheme val="minor"/>
    </font>
    <font>
      <b/>
      <sz val="11"/>
      <color indexed="9"/>
      <name val="Arial"/>
      <family val="2"/>
    </font>
    <font>
      <sz val="11"/>
      <color rgb="FFFFFFFF"/>
      <name val="Arial"/>
      <family val="2"/>
    </font>
    <font>
      <b/>
      <i/>
      <sz val="10"/>
      <name val="Arial"/>
      <family val="2"/>
    </font>
    <font>
      <u/>
      <sz val="14"/>
      <color rgb="FF58B527"/>
      <name val="Calibri"/>
      <family val="2"/>
      <scheme val="minor"/>
    </font>
    <font>
      <i/>
      <sz val="11.5"/>
      <color theme="1"/>
      <name val="Calibri"/>
      <family val="2"/>
      <scheme val="minor"/>
    </font>
    <font>
      <sz val="11"/>
      <color theme="1"/>
      <name val="Calibri"/>
      <family val="2"/>
    </font>
    <font>
      <sz val="14"/>
      <color rgb="FF943634"/>
      <name val="Calibri"/>
      <family val="2"/>
      <scheme val="minor"/>
    </font>
    <font>
      <sz val="10"/>
      <name val="Calibri"/>
      <family val="2"/>
    </font>
    <font>
      <sz val="8"/>
      <color rgb="FF000000"/>
      <name val="Segoe UI"/>
      <family val="2"/>
    </font>
    <font>
      <vertAlign val="subscript"/>
      <sz val="10"/>
      <color theme="0"/>
      <name val="Arial"/>
      <family val="2"/>
    </font>
    <font>
      <sz val="10"/>
      <color rgb="FFFFFFFF"/>
      <name val="Arial"/>
      <family val="2"/>
    </font>
    <font>
      <b/>
      <i/>
      <sz val="24"/>
      <color theme="0"/>
      <name val="Arial"/>
      <family val="2"/>
    </font>
    <font>
      <sz val="12"/>
      <color theme="0"/>
      <name val="Arial"/>
      <family val="2"/>
    </font>
    <font>
      <sz val="14"/>
      <color indexed="9"/>
      <name val="Arial"/>
      <family val="2"/>
    </font>
    <font>
      <sz val="11"/>
      <color theme="1"/>
      <name val="Times New Roman"/>
      <family val="1"/>
    </font>
    <font>
      <sz val="11"/>
      <color rgb="FF000000"/>
      <name val="Times New Roman"/>
      <family val="1"/>
    </font>
    <font>
      <vertAlign val="subscript"/>
      <sz val="14"/>
      <color indexed="9"/>
      <name val="Arial"/>
      <family val="2"/>
    </font>
    <font>
      <u/>
      <sz val="11"/>
      <color theme="10"/>
      <name val="Calibri"/>
      <family val="2"/>
    </font>
    <font>
      <sz val="11"/>
      <name val="Calibri"/>
      <family val="2"/>
    </font>
    <font>
      <vertAlign val="superscript"/>
      <sz val="10"/>
      <color rgb="FFFFFFFF"/>
      <name val="Arial"/>
      <family val="2"/>
    </font>
    <font>
      <vertAlign val="superscript"/>
      <sz val="11"/>
      <color indexed="9"/>
      <name val="Arial"/>
      <family val="2"/>
    </font>
    <font>
      <sz val="12"/>
      <color rgb="FF943634"/>
      <name val="Calibri"/>
      <family val="2"/>
      <scheme val="minor"/>
    </font>
    <font>
      <sz val="12"/>
      <name val="Arial"/>
      <family val="2"/>
    </font>
    <font>
      <u/>
      <sz val="12"/>
      <color rgb="FF0563C1"/>
      <name val="Arial"/>
      <family val="2"/>
    </font>
    <font>
      <sz val="10"/>
      <name val="Calibri"/>
      <family val="2"/>
      <scheme val="minor"/>
    </font>
    <font>
      <sz val="10"/>
      <color theme="1" tint="0.249977111117893"/>
      <name val="Arial"/>
      <family val="2"/>
    </font>
    <font>
      <i/>
      <sz val="11"/>
      <color theme="1"/>
      <name val="Calibri"/>
      <family val="2"/>
      <scheme val="minor"/>
    </font>
    <font>
      <b/>
      <sz val="11"/>
      <color theme="1" tint="0.249977111117893"/>
      <name val="Arial"/>
      <family val="2"/>
    </font>
    <font>
      <sz val="11"/>
      <color theme="1" tint="0.249977111117893"/>
      <name val="Arial"/>
      <family val="2"/>
    </font>
    <font>
      <b/>
      <sz val="11"/>
      <color rgb="FFFF0000"/>
      <name val="Arial"/>
      <family val="2"/>
    </font>
    <font>
      <b/>
      <u/>
      <sz val="11"/>
      <color theme="1" tint="0.249977111117893"/>
      <name val="Arial"/>
      <family val="2"/>
    </font>
    <font>
      <u/>
      <sz val="11"/>
      <color rgb="FF58AB27"/>
      <name val="Arial"/>
      <family val="2"/>
    </font>
    <font>
      <sz val="10"/>
      <color rgb="FF58AB27"/>
      <name val="Arial"/>
      <family val="2"/>
    </font>
    <font>
      <i/>
      <sz val="11"/>
      <color theme="1" tint="0.34998626667073579"/>
      <name val="Arial"/>
      <family val="2"/>
    </font>
    <font>
      <u/>
      <sz val="11"/>
      <color rgb="FF0070C0"/>
      <name val="Arial"/>
      <family val="2"/>
    </font>
    <font>
      <sz val="10"/>
      <color theme="1"/>
      <name val="Calibri"/>
      <family val="2"/>
      <scheme val="minor"/>
    </font>
    <font>
      <b/>
      <sz val="10"/>
      <color theme="1"/>
      <name val="Arial"/>
      <family val="2"/>
    </font>
    <font>
      <u/>
      <sz val="11"/>
      <color rgb="FF76923C"/>
      <name val="Arial"/>
      <family val="2"/>
    </font>
    <font>
      <sz val="11"/>
      <name val="Symbol"/>
      <family val="1"/>
      <charset val="2"/>
    </font>
    <font>
      <sz val="22"/>
      <color theme="0"/>
      <name val="Calibri"/>
      <family val="2"/>
      <scheme val="minor"/>
    </font>
    <font>
      <u/>
      <sz val="14"/>
      <color theme="0"/>
      <name val="Calibri"/>
      <family val="2"/>
      <scheme val="minor"/>
    </font>
    <font>
      <u/>
      <sz val="16"/>
      <color rgb="FF943634"/>
      <name val="Calibri"/>
      <family val="2"/>
      <scheme val="minor"/>
    </font>
    <font>
      <sz val="14"/>
      <color theme="1"/>
      <name val="Calibri"/>
      <family val="2"/>
      <scheme val="minor"/>
    </font>
    <font>
      <sz val="11"/>
      <name val="Calibri"/>
      <family val="2"/>
      <scheme val="minor"/>
    </font>
    <font>
      <sz val="12"/>
      <name val="Calibri"/>
      <family val="2"/>
      <scheme val="minor"/>
    </font>
    <font>
      <u/>
      <sz val="11"/>
      <color rgb="FF58B527"/>
      <name val="Calibri"/>
      <family val="2"/>
      <scheme val="minor"/>
    </font>
    <font>
      <u/>
      <sz val="14"/>
      <color rgb="FF943634"/>
      <name val="Calibri"/>
      <family val="2"/>
      <scheme val="minor"/>
    </font>
    <font>
      <sz val="10"/>
      <color rgb="FF000000"/>
      <name val="Arial"/>
      <family val="2"/>
    </font>
    <font>
      <i/>
      <sz val="9"/>
      <name val="Arial"/>
      <family val="2"/>
    </font>
    <font>
      <b/>
      <sz val="12"/>
      <color indexed="9"/>
      <name val="Calibri"/>
      <family val="2"/>
      <scheme val="minor"/>
    </font>
    <font>
      <b/>
      <sz val="22"/>
      <color indexed="9"/>
      <name val="Calibri"/>
      <family val="2"/>
      <scheme val="minor"/>
    </font>
    <font>
      <b/>
      <sz val="14"/>
      <color indexed="9"/>
      <name val="Calibri"/>
      <family val="2"/>
      <scheme val="minor"/>
    </font>
    <font>
      <u/>
      <sz val="11"/>
      <color rgb="FF0070C0"/>
      <name val="Calibri"/>
      <family val="2"/>
      <scheme val="minor"/>
    </font>
    <font>
      <sz val="11"/>
      <color rgb="FFFFFFFF"/>
      <name val="Calibri"/>
      <family val="2"/>
      <scheme val="minor"/>
    </font>
    <font>
      <sz val="12"/>
      <color rgb="FFFFFFFF"/>
      <name val="Calibri"/>
      <family val="2"/>
      <scheme val="minor"/>
    </font>
    <font>
      <b/>
      <sz val="12"/>
      <color rgb="FF943634"/>
      <name val="Calibri"/>
      <family val="2"/>
      <scheme val="minor"/>
    </font>
    <font>
      <b/>
      <sz val="11"/>
      <color rgb="FF76923C"/>
      <name val="Calibri"/>
      <family val="2"/>
      <scheme val="minor"/>
    </font>
    <font>
      <b/>
      <sz val="11"/>
      <color rgb="FF5F4970"/>
      <name val="Calibri"/>
      <family val="2"/>
      <scheme val="minor"/>
    </font>
    <font>
      <b/>
      <sz val="11"/>
      <name val="Calibri"/>
      <family val="2"/>
      <scheme val="minor"/>
    </font>
    <font>
      <b/>
      <sz val="11"/>
      <color rgb="FF0070C0"/>
      <name val="Calibri"/>
      <family val="2"/>
      <scheme val="minor"/>
    </font>
    <font>
      <b/>
      <sz val="11"/>
      <color rgb="FF58AB27"/>
      <name val="Calibri"/>
      <family val="2"/>
      <scheme val="minor"/>
    </font>
    <font>
      <b/>
      <sz val="11"/>
      <color rgb="FF943634"/>
      <name val="Calibri"/>
      <family val="2"/>
      <scheme val="minor"/>
    </font>
    <font>
      <b/>
      <sz val="11"/>
      <color rgb="FF984806"/>
      <name val="Calibri"/>
      <family val="2"/>
      <scheme val="minor"/>
    </font>
    <font>
      <b/>
      <sz val="11"/>
      <color rgb="FFFFC000"/>
      <name val="Calibri"/>
      <family val="2"/>
      <scheme val="minor"/>
    </font>
    <font>
      <b/>
      <sz val="11"/>
      <color rgb="FF58AB27"/>
      <name val="Calibri"/>
      <family val="2"/>
    </font>
    <font>
      <b/>
      <sz val="11"/>
      <name val="Calibri"/>
      <family val="2"/>
    </font>
    <font>
      <b/>
      <sz val="16"/>
      <color rgb="FF943634"/>
      <name val="Calibri"/>
      <family val="2"/>
      <scheme val="minor"/>
    </font>
    <font>
      <vertAlign val="superscript"/>
      <sz val="10"/>
      <color rgb="FF000000"/>
      <name val="Arial"/>
      <family val="2"/>
    </font>
    <font>
      <i/>
      <sz val="14"/>
      <color rgb="FFFF0000"/>
      <name val="Arial"/>
      <family val="2"/>
    </font>
    <font>
      <i/>
      <sz val="10"/>
      <color rgb="FFFF0000"/>
      <name val="Arial"/>
      <family val="2"/>
    </font>
    <font>
      <vertAlign val="subscript"/>
      <sz val="10"/>
      <color rgb="FFFFFFFF"/>
      <name val="Arial"/>
      <family val="2"/>
    </font>
    <font>
      <b/>
      <sz val="11"/>
      <color theme="1"/>
      <name val="Calibri"/>
      <family val="2"/>
      <scheme val="minor"/>
    </font>
    <font>
      <sz val="10"/>
      <color theme="1" tint="0.14999847407452621"/>
      <name val="Arial"/>
      <family val="2"/>
    </font>
    <font>
      <b/>
      <sz val="10"/>
      <color rgb="FFFF0000"/>
      <name val="Arial"/>
      <family val="2"/>
    </font>
    <font>
      <b/>
      <sz val="10"/>
      <color theme="1" tint="0.14999847407452621"/>
      <name val="Arial"/>
      <family val="2"/>
    </font>
    <font>
      <b/>
      <sz val="14"/>
      <color theme="0"/>
      <name val="Arial"/>
      <family val="2"/>
    </font>
    <font>
      <b/>
      <sz val="14"/>
      <color theme="1"/>
      <name val="Arial"/>
      <family val="2"/>
    </font>
    <font>
      <b/>
      <sz val="10"/>
      <color rgb="FF943634"/>
      <name val="Arial"/>
      <family val="2"/>
    </font>
    <font>
      <vertAlign val="subscript"/>
      <sz val="10"/>
      <name val="Arial"/>
      <family val="2"/>
    </font>
    <font>
      <sz val="11"/>
      <color rgb="FF000000"/>
      <name val="Arial"/>
      <family val="2"/>
    </font>
    <font>
      <sz val="10"/>
      <color rgb="FF943634"/>
      <name val="Arial"/>
      <family val="2"/>
    </font>
    <font>
      <b/>
      <sz val="10"/>
      <color rgb="FF58AB27"/>
      <name val="Arial"/>
      <family val="2"/>
    </font>
    <font>
      <i/>
      <sz val="14"/>
      <color rgb="FF943634"/>
      <name val="Calibri"/>
      <family val="2"/>
      <scheme val="minor"/>
    </font>
    <font>
      <i/>
      <sz val="11"/>
      <name val="Calibri"/>
      <family val="2"/>
      <scheme val="minor"/>
    </font>
    <font>
      <b/>
      <sz val="28"/>
      <color rgb="FFFFC000"/>
      <name val="Calibri"/>
      <family val="2"/>
      <scheme val="minor"/>
    </font>
    <font>
      <b/>
      <sz val="36"/>
      <color rgb="FF943634"/>
      <name val="Calibri"/>
      <family val="2"/>
      <scheme val="minor"/>
    </font>
    <font>
      <b/>
      <i/>
      <sz val="10"/>
      <color theme="1"/>
      <name val="Arial"/>
      <family val="2"/>
    </font>
    <font>
      <u/>
      <sz val="12"/>
      <color rgb="FF58AB27"/>
      <name val="Arial"/>
      <family val="2"/>
    </font>
    <font>
      <u/>
      <sz val="12"/>
      <color rgb="FF984806"/>
      <name val="Arial"/>
      <family val="2"/>
    </font>
    <font>
      <b/>
      <sz val="24"/>
      <color indexed="9"/>
      <name val="Calibri"/>
      <family val="2"/>
      <scheme val="minor"/>
    </font>
    <font>
      <b/>
      <sz val="22"/>
      <color theme="0"/>
      <name val="Calibri"/>
      <family val="2"/>
      <scheme val="minor"/>
    </font>
    <font>
      <sz val="20"/>
      <color theme="0"/>
      <name val="Calibri"/>
      <family val="2"/>
      <scheme val="minor"/>
    </font>
    <font>
      <u/>
      <sz val="11"/>
      <color theme="0"/>
      <name val="Calibri"/>
      <family val="2"/>
      <scheme val="minor"/>
    </font>
    <font>
      <u/>
      <sz val="12"/>
      <color rgb="FF5F4970"/>
      <name val="Arial"/>
      <family val="2"/>
    </font>
    <font>
      <u/>
      <sz val="12"/>
      <color rgb="FF76923C"/>
      <name val="Arial"/>
      <family val="2"/>
    </font>
    <font>
      <u/>
      <sz val="12"/>
      <color rgb="FF943634"/>
      <name val="Arial"/>
      <family val="2"/>
    </font>
    <font>
      <i/>
      <sz val="10"/>
      <name val="Calibri"/>
      <family val="2"/>
    </font>
    <font>
      <i/>
      <sz val="10"/>
      <name val="Calibri"/>
      <family val="2"/>
      <scheme val="minor"/>
    </font>
    <font>
      <vertAlign val="superscript"/>
      <sz val="10"/>
      <name val="Arial"/>
      <family val="2"/>
    </font>
    <font>
      <sz val="12"/>
      <color theme="0"/>
      <name val="Calibri"/>
      <family val="2"/>
      <scheme val="minor"/>
    </font>
    <font>
      <b/>
      <u/>
      <sz val="16"/>
      <color rgb="FF943634"/>
      <name val="Calibri"/>
      <family val="2"/>
      <scheme val="minor"/>
    </font>
    <font>
      <b/>
      <vertAlign val="superscript"/>
      <sz val="10"/>
      <name val="Arial"/>
      <family val="2"/>
    </font>
    <font>
      <u/>
      <sz val="10"/>
      <name val="Arial"/>
      <family val="2"/>
    </font>
    <font>
      <i/>
      <sz val="10"/>
      <color rgb="FF0070C0"/>
      <name val="Arial"/>
      <family val="2"/>
    </font>
    <font>
      <u/>
      <sz val="11"/>
      <color rgb="FF943634"/>
      <name val="Arial"/>
      <family val="2"/>
    </font>
    <font>
      <u/>
      <sz val="11"/>
      <color rgb="FF984806"/>
      <name val="Arial"/>
      <family val="2"/>
    </font>
    <font>
      <u/>
      <sz val="11"/>
      <color rgb="FF5F4970"/>
      <name val="Arial"/>
      <family val="2"/>
    </font>
    <font>
      <i/>
      <vertAlign val="superscript"/>
      <sz val="10"/>
      <name val="Arial"/>
      <family val="2"/>
    </font>
    <font>
      <i/>
      <sz val="10"/>
      <color rgb="FF943634"/>
      <name val="Arial"/>
      <family val="2"/>
    </font>
    <font>
      <b/>
      <sz val="12"/>
      <color theme="1"/>
      <name val="Calibri"/>
      <family val="2"/>
      <scheme val="minor"/>
    </font>
    <font>
      <sz val="10"/>
      <color theme="5" tint="-0.499984740745262"/>
      <name val="Arial"/>
      <family val="2"/>
    </font>
    <font>
      <vertAlign val="subscript"/>
      <sz val="11"/>
      <color theme="0"/>
      <name val="Arial"/>
      <family val="2"/>
    </font>
    <font>
      <b/>
      <vertAlign val="subscript"/>
      <sz val="12"/>
      <color indexed="9"/>
      <name val="Arial"/>
      <family val="2"/>
    </font>
    <font>
      <b/>
      <vertAlign val="subscript"/>
      <sz val="10"/>
      <name val="Arial"/>
      <family val="2"/>
    </font>
    <font>
      <vertAlign val="superscript"/>
      <sz val="10"/>
      <color theme="1"/>
      <name val="Arial"/>
      <family val="2"/>
    </font>
    <font>
      <sz val="22"/>
      <color rgb="FFFFFFFF"/>
      <name val="Arial"/>
      <family val="2"/>
    </font>
    <font>
      <sz val="24"/>
      <color rgb="FFFFFFFF"/>
      <name val="Calibri"/>
      <family val="2"/>
      <scheme val="minor"/>
    </font>
    <font>
      <sz val="14"/>
      <color rgb="FFFFFFFF"/>
      <name val="Arial"/>
      <family val="2"/>
    </font>
    <font>
      <i/>
      <sz val="10"/>
      <color theme="1"/>
      <name val="Arial"/>
      <family val="2"/>
    </font>
    <font>
      <u/>
      <sz val="11"/>
      <color rgb="FFFFFFFF"/>
      <name val="Arial"/>
      <family val="2"/>
    </font>
    <font>
      <sz val="20"/>
      <color rgb="FF943634"/>
      <name val="Arial"/>
      <family val="2"/>
    </font>
    <font>
      <sz val="11"/>
      <color rgb="FF943634"/>
      <name val="Calibri"/>
      <family val="2"/>
      <scheme val="minor"/>
    </font>
    <font>
      <vertAlign val="superscript"/>
      <sz val="11"/>
      <color theme="1"/>
      <name val="Arial"/>
      <family val="2"/>
    </font>
    <font>
      <sz val="10"/>
      <color rgb="FF58B527"/>
      <name val="Arial"/>
      <family val="2"/>
    </font>
    <font>
      <sz val="10"/>
      <color theme="1"/>
      <name val="Calibri"/>
      <family val="2"/>
    </font>
    <font>
      <i/>
      <sz val="10"/>
      <color rgb="FF76923C"/>
      <name val="Arial"/>
      <family val="2"/>
    </font>
    <font>
      <b/>
      <sz val="11"/>
      <color rgb="FF943634"/>
      <name val="Calibri"/>
      <family val="2"/>
    </font>
    <font>
      <sz val="10"/>
      <color rgb="FF984806"/>
      <name val="Arial"/>
      <family val="2"/>
    </font>
    <font>
      <sz val="11"/>
      <color rgb="FF943634"/>
      <name val="Arial"/>
      <family val="2"/>
    </font>
    <font>
      <sz val="11"/>
      <color rgb="FF58B527"/>
      <name val="Arial"/>
      <family val="2"/>
    </font>
    <font>
      <u/>
      <sz val="12"/>
      <name val="Arial"/>
      <family val="2"/>
    </font>
    <font>
      <u/>
      <sz val="11"/>
      <color theme="10"/>
      <name val="Arial"/>
      <family val="2"/>
    </font>
    <font>
      <b/>
      <sz val="12"/>
      <color theme="8" tint="-0.499984740745262"/>
      <name val="Arial"/>
      <family val="2"/>
    </font>
    <font>
      <b/>
      <sz val="12"/>
      <color theme="0" tint="-0.499984740745262"/>
      <name val="Arial"/>
      <family val="2"/>
    </font>
    <font>
      <b/>
      <sz val="11"/>
      <color rgb="FF58B527"/>
      <name val="Arial"/>
      <family val="2"/>
    </font>
    <font>
      <sz val="11"/>
      <color rgb="FF76923C"/>
      <name val="Calibri"/>
      <family val="2"/>
      <scheme val="minor"/>
    </font>
    <font>
      <u/>
      <sz val="14"/>
      <name val="Calibri"/>
      <family val="2"/>
      <scheme val="minor"/>
    </font>
    <font>
      <b/>
      <sz val="11"/>
      <color rgb="FF943634"/>
      <name val="Arial"/>
      <family val="2"/>
    </font>
    <font>
      <b/>
      <sz val="11"/>
      <color rgb="FF984806"/>
      <name val="Arial"/>
      <family val="2"/>
    </font>
    <font>
      <b/>
      <sz val="12"/>
      <color rgb="FFFFA500"/>
      <name val="Arial"/>
      <family val="2"/>
    </font>
    <font>
      <sz val="12"/>
      <color rgb="FF943634"/>
      <name val="Arial"/>
      <family val="2"/>
    </font>
    <font>
      <b/>
      <sz val="14"/>
      <color rgb="FF943634"/>
      <name val="Calibri"/>
      <family val="2"/>
      <scheme val="minor"/>
    </font>
    <font>
      <vertAlign val="superscript"/>
      <sz val="11"/>
      <name val="Arial"/>
      <family val="2"/>
    </font>
  </fonts>
  <fills count="35">
    <fill>
      <patternFill patternType="none"/>
    </fill>
    <fill>
      <patternFill patternType="gray125"/>
    </fill>
    <fill>
      <patternFill patternType="solid">
        <fgColor theme="0" tint="-4.9989318521683403E-2"/>
        <bgColor indexed="64"/>
      </patternFill>
    </fill>
    <fill>
      <patternFill patternType="solid">
        <fgColor rgb="FF76923C"/>
        <bgColor indexed="64"/>
      </patternFill>
    </fill>
    <fill>
      <patternFill patternType="solid">
        <fgColor theme="0" tint="-0.249977111117893"/>
        <bgColor indexed="64"/>
      </patternFill>
    </fill>
    <fill>
      <patternFill patternType="solid">
        <fgColor rgb="FF984806"/>
        <bgColor indexed="64"/>
      </patternFill>
    </fill>
    <fill>
      <patternFill patternType="solid">
        <fgColor rgb="FF943634"/>
        <bgColor indexed="64"/>
      </patternFill>
    </fill>
    <fill>
      <patternFill patternType="solid">
        <fgColor rgb="FFFFC000"/>
        <bgColor indexed="64"/>
      </patternFill>
    </fill>
    <fill>
      <patternFill patternType="solid">
        <fgColor rgb="FF58B527"/>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5F4970"/>
        <bgColor indexed="64"/>
      </patternFill>
    </fill>
    <fill>
      <patternFill patternType="solid">
        <fgColor rgb="FFFFFFCC"/>
        <bgColor indexed="64"/>
      </patternFill>
    </fill>
    <fill>
      <patternFill patternType="solid">
        <fgColor rgb="FFD9D9D9"/>
        <bgColor indexed="64"/>
      </patternFill>
    </fill>
    <fill>
      <patternFill patternType="solid">
        <fgColor rgb="FF0070C0"/>
        <bgColor indexed="64"/>
      </patternFill>
    </fill>
    <fill>
      <patternFill patternType="solid">
        <fgColor rgb="FF0070C0"/>
        <bgColor indexed="22"/>
      </patternFill>
    </fill>
    <fill>
      <patternFill patternType="solid">
        <fgColor theme="7" tint="0.59999389629810485"/>
        <bgColor indexed="64"/>
      </patternFill>
    </fill>
    <fill>
      <patternFill patternType="solid">
        <fgColor rgb="FFF2F2F2"/>
        <bgColor indexed="64"/>
      </patternFill>
    </fill>
    <fill>
      <patternFill patternType="solid">
        <fgColor theme="5" tint="0.59999389629810485"/>
        <bgColor indexed="64"/>
      </patternFill>
    </fill>
    <fill>
      <patternFill patternType="solid">
        <fgColor rgb="FF58AB27"/>
        <bgColor indexed="64"/>
      </patternFill>
    </fill>
    <fill>
      <patternFill patternType="solid">
        <fgColor rgb="FFBFBFBF"/>
        <bgColor indexed="64"/>
      </patternFill>
    </fill>
    <fill>
      <patternFill patternType="solid">
        <fgColor rgb="FF0066FF"/>
        <bgColor indexed="22"/>
      </patternFill>
    </fill>
    <fill>
      <patternFill patternType="solid">
        <fgColor indexed="48"/>
        <bgColor indexed="22"/>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7F7F7F"/>
        <bgColor indexed="64"/>
      </patternFill>
    </fill>
    <fill>
      <patternFill patternType="solid">
        <fgColor rgb="FF5F497A"/>
        <bgColor indexed="64"/>
      </patternFill>
    </fill>
    <fill>
      <patternFill patternType="solid">
        <fgColor theme="5" tint="0.79998168889431442"/>
        <bgColor indexed="64"/>
      </patternFill>
    </fill>
    <fill>
      <patternFill patternType="solid">
        <fgColor theme="6" tint="0.39997558519241921"/>
        <bgColor indexed="64"/>
      </patternFill>
    </fill>
    <fill>
      <patternFill patternType="solid">
        <fgColor rgb="FF808080"/>
        <bgColor indexed="64"/>
      </patternFill>
    </fill>
    <fill>
      <patternFill patternType="solid">
        <fgColor rgb="FFFFF2CC"/>
        <bgColor indexed="64"/>
      </patternFill>
    </fill>
  </fills>
  <borders count="144">
    <border>
      <left/>
      <right/>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top/>
      <bottom style="thin">
        <color theme="0"/>
      </bottom>
      <diagonal/>
    </border>
    <border>
      <left style="thin">
        <color theme="0"/>
      </left>
      <right style="thin">
        <color theme="0"/>
      </right>
      <top style="thin">
        <color theme="0"/>
      </top>
      <bottom style="thin">
        <color theme="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rgb="FF92D050"/>
      </right>
      <top/>
      <bottom style="thin">
        <color theme="0" tint="-0.499984740745262"/>
      </bottom>
      <diagonal/>
    </border>
    <border>
      <left style="thin">
        <color theme="0"/>
      </left>
      <right/>
      <top style="thin">
        <color theme="0"/>
      </top>
      <bottom style="thin">
        <color theme="0"/>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top style="medium">
        <color rgb="FFFFFFFF"/>
      </top>
      <bottom style="medium">
        <color rgb="FFFFFFFF"/>
      </bottom>
      <diagonal/>
    </border>
    <border>
      <left style="medium">
        <color rgb="FFFFFFFF"/>
      </left>
      <right/>
      <top/>
      <bottom style="medium">
        <color rgb="FFFFFFFF"/>
      </bottom>
      <diagonal/>
    </border>
    <border>
      <left/>
      <right/>
      <top/>
      <bottom style="medium">
        <color rgb="FFFFFFFF"/>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right>
      <top/>
      <bottom/>
      <diagonal/>
    </border>
    <border>
      <left/>
      <right/>
      <top style="thin">
        <color theme="0" tint="-0.34998626667073579"/>
      </top>
      <bottom/>
      <diagonal/>
    </border>
    <border>
      <left/>
      <right/>
      <top style="thin">
        <color theme="0" tint="-0.499984740745262"/>
      </top>
      <bottom style="thin">
        <color theme="0" tint="-0.499984740745262"/>
      </bottom>
      <diagonal/>
    </border>
    <border>
      <left style="thin">
        <color theme="1" tint="0.499984740745262"/>
      </left>
      <right/>
      <top/>
      <bottom style="thin">
        <color theme="1" tint="0.499984740745262"/>
      </bottom>
      <diagonal/>
    </border>
    <border>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style="thin">
        <color theme="0"/>
      </top>
      <bottom/>
      <diagonal/>
    </border>
    <border>
      <left style="thin">
        <color theme="0"/>
      </left>
      <right/>
      <top/>
      <bottom/>
      <diagonal/>
    </border>
    <border>
      <left style="thin">
        <color indexed="64"/>
      </left>
      <right style="thin">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medium">
        <color indexed="64"/>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style="thin">
        <color theme="1" tint="0.499984740745262"/>
      </top>
      <bottom/>
      <diagonal/>
    </border>
    <border>
      <left/>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theme="0"/>
      </left>
      <right style="thin">
        <color theme="0"/>
      </right>
      <top/>
      <bottom/>
      <diagonal/>
    </border>
    <border>
      <left/>
      <right/>
      <top/>
      <bottom style="thin">
        <color theme="0" tint="-4.9989318521683403E-2"/>
      </bottom>
      <diagonal/>
    </border>
    <border>
      <left style="thin">
        <color theme="0" tint="-4.9989318521683403E-2"/>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style="thin">
        <color theme="0" tint="-4.9989318521683403E-2"/>
      </left>
      <right style="thin">
        <color theme="0" tint="-4.9989318521683403E-2"/>
      </right>
      <top style="thin">
        <color theme="0" tint="-4.9989318521683403E-2"/>
      </top>
      <bottom/>
      <diagonal/>
    </border>
    <border>
      <left style="thin">
        <color theme="0" tint="-4.9989318521683403E-2"/>
      </left>
      <right style="thin">
        <color theme="0" tint="-4.9989318521683403E-2"/>
      </right>
      <top/>
      <bottom style="thin">
        <color theme="0" tint="-4.9989318521683403E-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style="thin">
        <color theme="0" tint="-4.9989318521683403E-2"/>
      </left>
      <right/>
      <top/>
      <bottom style="thin">
        <color theme="0" tint="-4.9989318521683403E-2"/>
      </bottom>
      <diagonal/>
    </border>
    <border>
      <left style="thin">
        <color theme="1" tint="0.499984740745262"/>
      </left>
      <right/>
      <top/>
      <bottom style="thin">
        <color theme="0" tint="-0.499984740745262"/>
      </bottom>
      <diagonal/>
    </border>
    <border>
      <left/>
      <right style="thin">
        <color theme="1" tint="0.499984740745262"/>
      </right>
      <top/>
      <bottom style="thin">
        <color theme="0" tint="-0.499984740745262"/>
      </bottom>
      <diagonal/>
    </border>
    <border>
      <left style="thin">
        <color theme="1" tint="0.499984740745262"/>
      </left>
      <right/>
      <top style="thin">
        <color theme="0" tint="-0.499984740745262"/>
      </top>
      <bottom/>
      <diagonal/>
    </border>
    <border>
      <left style="thin">
        <color theme="0" tint="-4.9989318521683403E-2"/>
      </left>
      <right/>
      <top style="thin">
        <color theme="0"/>
      </top>
      <bottom style="thin">
        <color theme="0" tint="-4.9989318521683403E-2"/>
      </bottom>
      <diagonal/>
    </border>
    <border>
      <left/>
      <right style="thin">
        <color theme="0" tint="-4.9989318521683403E-2"/>
      </right>
      <top style="thin">
        <color theme="0"/>
      </top>
      <bottom style="thin">
        <color theme="0" tint="-4.9989318521683403E-2"/>
      </bottom>
      <diagonal/>
    </border>
    <border>
      <left style="medium">
        <color rgb="FFFFFFFF"/>
      </left>
      <right style="medium">
        <color rgb="FFFFFFFF"/>
      </right>
      <top style="medium">
        <color rgb="FFFFFFFF"/>
      </top>
      <bottom/>
      <diagonal/>
    </border>
    <border>
      <left/>
      <right style="medium">
        <color rgb="FFFFFFFF"/>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right/>
      <top style="thin">
        <color theme="0" tint="-0.34998626667073579"/>
      </top>
      <bottom style="thin">
        <color theme="0" tint="-0.499984740745262"/>
      </bottom>
      <diagonal/>
    </border>
    <border>
      <left/>
      <right style="thin">
        <color theme="0" tint="-0.499984740745262"/>
      </right>
      <top style="thin">
        <color theme="0" tint="-0.34998626667073579"/>
      </top>
      <bottom style="thin">
        <color theme="0" tint="-0.34998626667073579"/>
      </bottom>
      <diagonal/>
    </border>
    <border>
      <left/>
      <right style="thin">
        <color theme="0" tint="-0.499984740745262"/>
      </right>
      <top/>
      <bottom style="thin">
        <color theme="0" tint="-0.34998626667073579"/>
      </bottom>
      <diagonal/>
    </border>
    <border>
      <left/>
      <right style="thin">
        <color theme="0"/>
      </right>
      <top/>
      <bottom style="thin">
        <color theme="0" tint="-4.9989318521683403E-2"/>
      </bottom>
      <diagonal/>
    </border>
    <border>
      <left style="thin">
        <color theme="0"/>
      </left>
      <right/>
      <top style="thin">
        <color theme="0" tint="-4.9989318521683403E-2"/>
      </top>
      <bottom style="thin">
        <color theme="0"/>
      </bottom>
      <diagonal/>
    </border>
    <border>
      <left/>
      <right style="thin">
        <color theme="0" tint="-4.9989318521683403E-2"/>
      </right>
      <top/>
      <bottom style="thin">
        <color theme="0" tint="-4.9989318521683403E-2"/>
      </bottom>
      <diagonal/>
    </border>
    <border>
      <left style="thin">
        <color theme="1" tint="0.499984740745262"/>
      </left>
      <right style="thin">
        <color theme="0"/>
      </right>
      <top/>
      <bottom style="thin">
        <color theme="0"/>
      </bottom>
      <diagonal/>
    </border>
    <border>
      <left style="thin">
        <color theme="0"/>
      </left>
      <right style="thin">
        <color theme="1" tint="0.499984740745262"/>
      </right>
      <top style="thin">
        <color theme="0"/>
      </top>
      <bottom style="thin">
        <color theme="0"/>
      </bottom>
      <diagonal/>
    </border>
    <border>
      <left style="thin">
        <color theme="1" tint="0.499984740745262"/>
      </left>
      <right style="thin">
        <color theme="0"/>
      </right>
      <top style="thin">
        <color theme="0"/>
      </top>
      <bottom style="thin">
        <color theme="0"/>
      </bottom>
      <diagonal/>
    </border>
    <border>
      <left style="thin">
        <color theme="0"/>
      </left>
      <right style="thin">
        <color theme="1" tint="0.499984740745262"/>
      </right>
      <top/>
      <bottom style="thin">
        <color theme="0"/>
      </bottom>
      <diagonal/>
    </border>
    <border>
      <left style="medium">
        <color rgb="FFFFFFFF"/>
      </left>
      <right/>
      <top style="medium">
        <color rgb="FFFFFFFF"/>
      </top>
      <bottom/>
      <diagonal/>
    </border>
    <border>
      <left/>
      <right style="medium">
        <color rgb="FFFFFFFF"/>
      </right>
      <top style="medium">
        <color rgb="FFFFFFFF"/>
      </top>
      <bottom/>
      <diagonal/>
    </border>
    <border>
      <left/>
      <right/>
      <top style="medium">
        <color rgb="FFFFFFFF"/>
      </top>
      <bottom/>
      <diagonal/>
    </border>
    <border>
      <left style="medium">
        <color rgb="FFFFFFFF"/>
      </left>
      <right/>
      <top/>
      <bottom/>
      <diagonal/>
    </border>
    <border>
      <left/>
      <right style="medium">
        <color rgb="FFFFFFFF"/>
      </right>
      <top/>
      <bottom/>
      <diagonal/>
    </border>
    <border>
      <left style="medium">
        <color theme="0" tint="-4.9989318521683403E-2"/>
      </left>
      <right/>
      <top/>
      <bottom/>
      <diagonal/>
    </border>
    <border>
      <left/>
      <right/>
      <top style="medium">
        <color rgb="FFFFFFFF"/>
      </top>
      <bottom style="thin">
        <color theme="0"/>
      </bottom>
      <diagonal/>
    </border>
    <border>
      <left/>
      <right style="medium">
        <color rgb="FFFFFFFF"/>
      </right>
      <top style="medium">
        <color rgb="FFFFFFFF"/>
      </top>
      <bottom style="thin">
        <color theme="0"/>
      </bottom>
      <diagonal/>
    </border>
    <border>
      <left/>
      <right style="thin">
        <color theme="0"/>
      </right>
      <top style="medium">
        <color rgb="FFFFFFFF"/>
      </top>
      <bottom/>
      <diagonal/>
    </border>
    <border>
      <left style="thin">
        <color theme="0"/>
      </left>
      <right/>
      <top/>
      <bottom style="medium">
        <color rgb="FFFFFFFF"/>
      </bottom>
      <diagonal/>
    </border>
    <border>
      <left/>
      <right style="medium">
        <color rgb="FFFFFFFF"/>
      </right>
      <top style="thin">
        <color theme="0"/>
      </top>
      <bottom style="thin">
        <color theme="0"/>
      </bottom>
      <diagonal/>
    </border>
    <border>
      <left style="medium">
        <color rgb="FFFFFFFF"/>
      </left>
      <right/>
      <top/>
      <bottom style="thin">
        <color theme="0"/>
      </bottom>
      <diagonal/>
    </border>
    <border>
      <left/>
      <right style="medium">
        <color rgb="FFFFFFFF"/>
      </right>
      <top style="thin">
        <color theme="0"/>
      </top>
      <bottom/>
      <diagonal/>
    </border>
    <border>
      <left/>
      <right style="medium">
        <color rgb="FFFFFFFF"/>
      </right>
      <top/>
      <bottom style="thin">
        <color theme="0"/>
      </bottom>
      <diagonal/>
    </border>
    <border>
      <left style="medium">
        <color rgb="FFFFFFFF"/>
      </left>
      <right/>
      <top style="thin">
        <color theme="0"/>
      </top>
      <bottom/>
      <diagonal/>
    </border>
    <border>
      <left style="medium">
        <color rgb="FFFFFFFF"/>
      </left>
      <right/>
      <top style="thin">
        <color theme="0"/>
      </top>
      <bottom style="thin">
        <color theme="0"/>
      </bottom>
      <diagonal/>
    </border>
    <border>
      <left style="thin">
        <color theme="0"/>
      </left>
      <right/>
      <top style="medium">
        <color rgb="FFFFFFFF"/>
      </top>
      <bottom style="thin">
        <color theme="0"/>
      </bottom>
      <diagonal/>
    </border>
    <border>
      <left/>
      <right style="medium">
        <color theme="0" tint="-4.9989318521683403E-2"/>
      </right>
      <top style="medium">
        <color rgb="FFFFFFFF"/>
      </top>
      <bottom style="thin">
        <color theme="0"/>
      </bottom>
      <diagonal/>
    </border>
    <border>
      <left style="thin">
        <color theme="1" tint="0.499984740745262"/>
      </left>
      <right style="thin">
        <color theme="0"/>
      </right>
      <top style="thin">
        <color theme="1" tint="0.499984740745262"/>
      </top>
      <bottom style="thin">
        <color theme="1" tint="0.499984740745262"/>
      </bottom>
      <diagonal/>
    </border>
    <border>
      <left style="thin">
        <color theme="0"/>
      </left>
      <right style="thin">
        <color theme="0"/>
      </right>
      <top style="thin">
        <color theme="1" tint="0.499984740745262"/>
      </top>
      <bottom style="thin">
        <color theme="1" tint="0.499984740745262"/>
      </bottom>
      <diagonal/>
    </border>
    <border>
      <left style="thin">
        <color theme="0"/>
      </left>
      <right/>
      <top style="thin">
        <color theme="1" tint="0.499984740745262"/>
      </top>
      <bottom style="thin">
        <color theme="1" tint="0.499984740745262"/>
      </bottom>
      <diagonal/>
    </border>
    <border>
      <left style="thin">
        <color theme="8" tint="-0.499984740745262"/>
      </left>
      <right/>
      <top style="thin">
        <color theme="8" tint="-0.499984740745262"/>
      </top>
      <bottom/>
      <diagonal/>
    </border>
    <border>
      <left/>
      <right/>
      <top style="thin">
        <color theme="8" tint="-0.499984740745262"/>
      </top>
      <bottom/>
      <diagonal/>
    </border>
    <border>
      <left/>
      <right style="thin">
        <color theme="8" tint="-0.499984740745262"/>
      </right>
      <top style="thin">
        <color theme="8" tint="-0.499984740745262"/>
      </top>
      <bottom/>
      <diagonal/>
    </border>
    <border>
      <left style="thin">
        <color theme="8" tint="-0.499984740745262"/>
      </left>
      <right/>
      <top/>
      <bottom/>
      <diagonal/>
    </border>
    <border>
      <left/>
      <right style="thin">
        <color theme="8" tint="-0.499984740745262"/>
      </right>
      <top/>
      <bottom/>
      <diagonal/>
    </border>
    <border>
      <left style="thin">
        <color theme="8" tint="-0.499984740745262"/>
      </left>
      <right/>
      <top/>
      <bottom style="thin">
        <color theme="8" tint="-0.499984740745262"/>
      </bottom>
      <diagonal/>
    </border>
    <border>
      <left/>
      <right/>
      <top/>
      <bottom style="thin">
        <color theme="8" tint="-0.499984740745262"/>
      </bottom>
      <diagonal/>
    </border>
    <border>
      <left/>
      <right style="thin">
        <color theme="8" tint="-0.499984740745262"/>
      </right>
      <top/>
      <bottom style="thin">
        <color theme="8" tint="-0.499984740745262"/>
      </bottom>
      <diagonal/>
    </border>
    <border>
      <left style="thin">
        <color rgb="FFFFC000"/>
      </left>
      <right/>
      <top style="thin">
        <color rgb="FFFFC000"/>
      </top>
      <bottom/>
      <diagonal/>
    </border>
    <border>
      <left/>
      <right/>
      <top style="thin">
        <color rgb="FFFFC000"/>
      </top>
      <bottom/>
      <diagonal/>
    </border>
    <border>
      <left/>
      <right style="thin">
        <color rgb="FFFFC000"/>
      </right>
      <top style="thin">
        <color rgb="FFFFC000"/>
      </top>
      <bottom/>
      <diagonal/>
    </border>
    <border>
      <left style="thin">
        <color rgb="FFFFC000"/>
      </left>
      <right/>
      <top/>
      <bottom/>
      <diagonal/>
    </border>
    <border>
      <left/>
      <right style="thin">
        <color rgb="FFFFC000"/>
      </right>
      <top/>
      <bottom/>
      <diagonal/>
    </border>
    <border>
      <left style="thin">
        <color rgb="FFFFC000"/>
      </left>
      <right/>
      <top/>
      <bottom style="thin">
        <color rgb="FFFFC000"/>
      </bottom>
      <diagonal/>
    </border>
    <border>
      <left/>
      <right/>
      <top/>
      <bottom style="thin">
        <color rgb="FFFFC000"/>
      </bottom>
      <diagonal/>
    </border>
    <border>
      <left/>
      <right style="thin">
        <color rgb="FFFFC000"/>
      </right>
      <top/>
      <bottom style="thin">
        <color rgb="FFFFC000"/>
      </bottom>
      <diagonal/>
    </border>
  </borders>
  <cellStyleXfs count="6">
    <xf numFmtId="0" fontId="0" fillId="0" borderId="0"/>
    <xf numFmtId="9" fontId="1" fillId="0" borderId="0" applyFont="0" applyFill="0" applyBorder="0" applyAlignment="0" applyProtection="0"/>
    <xf numFmtId="0" fontId="2" fillId="0" borderId="0"/>
    <xf numFmtId="0" fontId="28" fillId="0" borderId="0" applyNumberFormat="0" applyFill="0" applyBorder="0" applyAlignment="0" applyProtection="0"/>
    <xf numFmtId="0" fontId="36" fillId="0" borderId="0"/>
    <xf numFmtId="0" fontId="57" fillId="0" borderId="0" applyNumberFormat="0" applyFill="0" applyBorder="0" applyAlignment="0" applyProtection="0">
      <alignment vertical="top"/>
      <protection locked="0"/>
    </xf>
  </cellStyleXfs>
  <cellXfs count="2226">
    <xf numFmtId="0" fontId="0" fillId="0" borderId="0" xfId="0"/>
    <xf numFmtId="0" fontId="2" fillId="2" borderId="0" xfId="2" applyFont="1" applyFill="1"/>
    <xf numFmtId="0" fontId="3" fillId="2" borderId="0" xfId="2" applyFont="1" applyFill="1" applyAlignment="1">
      <alignment horizontal="center"/>
    </xf>
    <xf numFmtId="0" fontId="7" fillId="2" borderId="0" xfId="2" applyFont="1" applyFill="1" applyAlignment="1">
      <alignment horizontal="left" vertical="center" wrapText="1"/>
    </xf>
    <xf numFmtId="0" fontId="2" fillId="2" borderId="0" xfId="2" applyFill="1" applyBorder="1"/>
    <xf numFmtId="0" fontId="2" fillId="2" borderId="0" xfId="2" applyFill="1"/>
    <xf numFmtId="0" fontId="10" fillId="8" borderId="0" xfId="0" applyFont="1" applyFill="1" applyBorder="1" applyAlignment="1" applyProtection="1">
      <alignment vertical="center"/>
      <protection hidden="1"/>
    </xf>
    <xf numFmtId="0" fontId="13" fillId="8" borderId="0" xfId="0" applyFont="1" applyFill="1" applyBorder="1" applyAlignment="1" applyProtection="1">
      <alignment horizontal="center" vertical="center" wrapText="1"/>
      <protection hidden="1"/>
    </xf>
    <xf numFmtId="0" fontId="6" fillId="9" borderId="4" xfId="2" applyFont="1" applyFill="1" applyBorder="1" applyAlignment="1">
      <alignment horizontal="center" vertical="center" wrapText="1"/>
    </xf>
    <xf numFmtId="0" fontId="10" fillId="3" borderId="0" xfId="0" applyFont="1" applyFill="1" applyBorder="1" applyAlignment="1" applyProtection="1">
      <alignment vertical="center"/>
      <protection hidden="1"/>
    </xf>
    <xf numFmtId="0" fontId="13" fillId="3" borderId="0" xfId="0" applyFont="1" applyFill="1" applyBorder="1" applyAlignment="1" applyProtection="1">
      <alignment horizontal="center" vertical="center"/>
      <protection hidden="1"/>
    </xf>
    <xf numFmtId="0" fontId="13" fillId="3" borderId="0" xfId="0" applyFont="1" applyFill="1" applyBorder="1" applyAlignment="1" applyProtection="1">
      <alignment horizontal="center" vertical="center" wrapText="1"/>
      <protection hidden="1"/>
    </xf>
    <xf numFmtId="0" fontId="6" fillId="9" borderId="4" xfId="2" applyFont="1" applyFill="1" applyBorder="1" applyAlignment="1" applyProtection="1">
      <alignment horizontal="center" vertical="center" wrapText="1"/>
      <protection hidden="1"/>
    </xf>
    <xf numFmtId="0" fontId="0" fillId="2" borderId="0" xfId="0" applyFill="1"/>
    <xf numFmtId="0" fontId="0" fillId="11" borderId="0" xfId="0" applyFill="1"/>
    <xf numFmtId="0" fontId="19" fillId="0" borderId="0" xfId="0" applyFont="1"/>
    <xf numFmtId="0" fontId="2" fillId="11" borderId="0" xfId="2" applyFont="1" applyFill="1" applyBorder="1"/>
    <xf numFmtId="0" fontId="2" fillId="11" borderId="0" xfId="2" applyFont="1" applyFill="1"/>
    <xf numFmtId="0" fontId="19" fillId="11" borderId="0" xfId="0" applyFont="1" applyFill="1"/>
    <xf numFmtId="0" fontId="21" fillId="11" borderId="3" xfId="0" applyFont="1" applyFill="1" applyBorder="1"/>
    <xf numFmtId="0" fontId="21" fillId="11" borderId="0" xfId="0" applyFont="1" applyFill="1" applyBorder="1"/>
    <xf numFmtId="0" fontId="19" fillId="11" borderId="0" xfId="0" applyFont="1" applyFill="1" applyBorder="1"/>
    <xf numFmtId="9" fontId="19" fillId="11" borderId="0" xfId="0" applyNumberFormat="1" applyFont="1" applyFill="1" applyBorder="1" applyAlignment="1">
      <alignment horizontal="left"/>
    </xf>
    <xf numFmtId="0" fontId="25" fillId="12" borderId="0" xfId="2" applyFont="1" applyFill="1" applyAlignment="1" applyProtection="1">
      <alignment wrapText="1"/>
      <protection hidden="1"/>
    </xf>
    <xf numFmtId="0" fontId="2" fillId="12" borderId="0" xfId="2" applyFill="1" applyAlignment="1" applyProtection="1">
      <alignment wrapText="1"/>
      <protection hidden="1"/>
    </xf>
    <xf numFmtId="0" fontId="26" fillId="11" borderId="0" xfId="0" applyFont="1" applyFill="1" applyAlignment="1" applyProtection="1">
      <alignment vertical="center"/>
      <protection hidden="1"/>
    </xf>
    <xf numFmtId="0" fontId="27" fillId="11" borderId="0" xfId="0" applyFont="1" applyFill="1" applyAlignment="1" applyProtection="1">
      <alignment vertical="center"/>
      <protection hidden="1"/>
    </xf>
    <xf numFmtId="0" fontId="25" fillId="12" borderId="0" xfId="2" applyFont="1" applyFill="1" applyBorder="1" applyAlignment="1" applyProtection="1">
      <alignment wrapText="1"/>
      <protection hidden="1"/>
    </xf>
    <xf numFmtId="0" fontId="25" fillId="12" borderId="0" xfId="2" applyFont="1" applyFill="1" applyBorder="1" applyAlignment="1" applyProtection="1">
      <alignment horizontal="left" vertical="center" wrapText="1"/>
      <protection hidden="1"/>
    </xf>
    <xf numFmtId="0" fontId="2" fillId="12" borderId="0" xfId="2" applyFill="1" applyAlignment="1" applyProtection="1">
      <alignment vertical="center" wrapText="1"/>
      <protection hidden="1"/>
    </xf>
    <xf numFmtId="0" fontId="0" fillId="0" borderId="0" xfId="0" applyAlignment="1"/>
    <xf numFmtId="0" fontId="34" fillId="15" borderId="15" xfId="0" applyFont="1" applyFill="1" applyBorder="1" applyAlignment="1">
      <alignment horizontal="center" vertical="center" wrapText="1"/>
    </xf>
    <xf numFmtId="0" fontId="34" fillId="15" borderId="16" xfId="0" applyFont="1" applyFill="1" applyBorder="1" applyAlignment="1">
      <alignment horizontal="center" vertical="center" wrapText="1"/>
    </xf>
    <xf numFmtId="0" fontId="14" fillId="15" borderId="17" xfId="0" applyFont="1" applyFill="1" applyBorder="1" applyAlignment="1">
      <alignment horizontal="center" vertical="center" wrapText="1"/>
    </xf>
    <xf numFmtId="0" fontId="14" fillId="15" borderId="18" xfId="0" applyFont="1" applyFill="1" applyBorder="1" applyAlignment="1">
      <alignment horizontal="center" vertical="center" wrapText="1"/>
    </xf>
    <xf numFmtId="0" fontId="14" fillId="15" borderId="15" xfId="0" applyFont="1" applyFill="1" applyBorder="1" applyAlignment="1">
      <alignment horizontal="center" vertical="center" wrapText="1"/>
    </xf>
    <xf numFmtId="0" fontId="14" fillId="15" borderId="19" xfId="0" applyFont="1" applyFill="1" applyBorder="1" applyAlignment="1">
      <alignment horizontal="center" vertical="center" wrapText="1"/>
    </xf>
    <xf numFmtId="0" fontId="14" fillId="15" borderId="16" xfId="0" applyFont="1" applyFill="1" applyBorder="1" applyAlignment="1">
      <alignment horizontal="center" vertical="center" wrapText="1"/>
    </xf>
    <xf numFmtId="0" fontId="25" fillId="12" borderId="0" xfId="2" applyFont="1" applyFill="1" applyAlignment="1" applyProtection="1">
      <alignment horizontal="center" vertical="center" wrapText="1"/>
      <protection hidden="1"/>
    </xf>
    <xf numFmtId="0" fontId="10" fillId="16" borderId="0" xfId="0" applyFont="1" applyFill="1" applyBorder="1" applyAlignment="1" applyProtection="1">
      <alignment vertical="center"/>
      <protection hidden="1"/>
    </xf>
    <xf numFmtId="0" fontId="22" fillId="0" borderId="1" xfId="2" applyFont="1" applyFill="1" applyBorder="1" applyAlignment="1">
      <alignment horizontal="center" vertical="center"/>
    </xf>
    <xf numFmtId="0" fontId="0" fillId="11" borderId="0" xfId="0" applyFill="1" applyProtection="1">
      <protection hidden="1"/>
    </xf>
    <xf numFmtId="0" fontId="0" fillId="0" borderId="0" xfId="0" applyProtection="1">
      <protection hidden="1"/>
    </xf>
    <xf numFmtId="0" fontId="0" fillId="19" borderId="0" xfId="0" applyFill="1" applyProtection="1">
      <protection hidden="1"/>
    </xf>
    <xf numFmtId="0" fontId="2" fillId="6" borderId="0" xfId="2" applyFont="1" applyFill="1"/>
    <xf numFmtId="0" fontId="11" fillId="13" borderId="0" xfId="2" applyFont="1" applyFill="1"/>
    <xf numFmtId="0" fontId="11" fillId="3" borderId="0" xfId="2" applyFont="1" applyFill="1"/>
    <xf numFmtId="0" fontId="10" fillId="6" borderId="0" xfId="0" applyFont="1" applyFill="1" applyBorder="1" applyAlignment="1" applyProtection="1">
      <alignment vertical="center"/>
      <protection hidden="1"/>
    </xf>
    <xf numFmtId="0" fontId="13" fillId="6" borderId="0" xfId="0" applyFont="1" applyFill="1" applyBorder="1" applyAlignment="1" applyProtection="1">
      <alignment horizontal="center" vertical="center"/>
      <protection hidden="1"/>
    </xf>
    <xf numFmtId="3" fontId="14" fillId="4" borderId="4" xfId="0" applyNumberFormat="1" applyFont="1" applyFill="1" applyBorder="1" applyAlignment="1" applyProtection="1">
      <alignment horizontal="center" vertical="center" wrapText="1"/>
      <protection hidden="1"/>
    </xf>
    <xf numFmtId="165" fontId="14" fillId="4" borderId="4" xfId="0" applyNumberFormat="1" applyFont="1" applyFill="1" applyBorder="1" applyAlignment="1" applyProtection="1">
      <alignment horizontal="center" vertical="center" wrapText="1"/>
      <protection hidden="1"/>
    </xf>
    <xf numFmtId="0" fontId="14" fillId="4" borderId="4" xfId="0" applyFont="1" applyFill="1" applyBorder="1" applyAlignment="1" applyProtection="1">
      <alignment horizontal="center" vertical="center" wrapText="1"/>
      <protection hidden="1"/>
    </xf>
    <xf numFmtId="0" fontId="2" fillId="6" borderId="0" xfId="2" applyFill="1" applyProtection="1">
      <protection hidden="1"/>
    </xf>
    <xf numFmtId="0" fontId="2" fillId="2" borderId="0" xfId="2" applyFill="1" applyProtection="1">
      <protection hidden="1"/>
    </xf>
    <xf numFmtId="0" fontId="2" fillId="2" borderId="0" xfId="2" applyFill="1" applyBorder="1" applyProtection="1">
      <protection hidden="1"/>
    </xf>
    <xf numFmtId="0" fontId="20" fillId="6" borderId="30" xfId="2" applyFont="1" applyFill="1" applyBorder="1" applyAlignment="1" applyProtection="1">
      <alignment horizontal="center" vertical="center" wrapText="1"/>
      <protection hidden="1"/>
    </xf>
    <xf numFmtId="0" fontId="2" fillId="6" borderId="0" xfId="2" applyFill="1" applyBorder="1" applyProtection="1">
      <protection hidden="1"/>
    </xf>
    <xf numFmtId="0" fontId="2" fillId="2" borderId="0" xfId="2" applyFill="1" applyBorder="1" applyAlignment="1" applyProtection="1">
      <alignment wrapText="1"/>
      <protection hidden="1"/>
    </xf>
    <xf numFmtId="0" fontId="8" fillId="4" borderId="4" xfId="2" applyFont="1" applyFill="1" applyBorder="1" applyAlignment="1" applyProtection="1">
      <alignment horizontal="center" vertical="center"/>
      <protection hidden="1"/>
    </xf>
    <xf numFmtId="0" fontId="22" fillId="11" borderId="1" xfId="2" applyFont="1" applyFill="1" applyBorder="1" applyAlignment="1" applyProtection="1">
      <alignment horizontal="center" vertical="center"/>
      <protection hidden="1"/>
    </xf>
    <xf numFmtId="0" fontId="20" fillId="3" borderId="30" xfId="2" applyFont="1" applyFill="1" applyBorder="1" applyAlignment="1" applyProtection="1">
      <alignment horizontal="center" vertical="center" wrapText="1"/>
      <protection hidden="1"/>
    </xf>
    <xf numFmtId="0" fontId="22" fillId="9" borderId="4" xfId="2" applyFont="1" applyFill="1" applyBorder="1" applyAlignment="1" applyProtection="1">
      <alignment horizontal="center" vertical="center" wrapText="1"/>
      <protection hidden="1"/>
    </xf>
    <xf numFmtId="0" fontId="2" fillId="5" borderId="0" xfId="2" applyFill="1" applyProtection="1">
      <protection hidden="1"/>
    </xf>
    <xf numFmtId="0" fontId="20" fillId="5" borderId="30" xfId="2" applyFont="1" applyFill="1" applyBorder="1" applyAlignment="1" applyProtection="1">
      <alignment horizontal="center" vertical="center" wrapText="1"/>
      <protection hidden="1"/>
    </xf>
    <xf numFmtId="0" fontId="0" fillId="0" borderId="0" xfId="0" applyProtection="1">
      <protection locked="0" hidden="1"/>
    </xf>
    <xf numFmtId="0" fontId="9" fillId="8" borderId="0" xfId="0" applyFont="1" applyFill="1" applyBorder="1" applyAlignment="1" applyProtection="1">
      <alignment horizontal="left" vertical="center"/>
      <protection hidden="1"/>
    </xf>
    <xf numFmtId="0" fontId="9" fillId="16" borderId="0" xfId="0" applyFont="1" applyFill="1" applyBorder="1" applyAlignment="1" applyProtection="1">
      <alignment horizontal="left" vertical="center"/>
      <protection hidden="1"/>
    </xf>
    <xf numFmtId="0" fontId="2" fillId="4" borderId="4" xfId="2"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indent="1"/>
      <protection hidden="1"/>
    </xf>
    <xf numFmtId="0" fontId="40" fillId="16" borderId="0" xfId="0" applyFont="1" applyFill="1" applyBorder="1" applyAlignment="1" applyProtection="1">
      <alignment vertical="center"/>
      <protection hidden="1"/>
    </xf>
    <xf numFmtId="0" fontId="20" fillId="16" borderId="30" xfId="2" applyFont="1" applyFill="1" applyBorder="1" applyAlignment="1" applyProtection="1">
      <alignment horizontal="center" vertical="center" wrapText="1"/>
      <protection hidden="1"/>
    </xf>
    <xf numFmtId="0" fontId="2" fillId="2" borderId="0" xfId="2" applyFill="1" applyBorder="1" applyAlignment="1" applyProtection="1">
      <protection hidden="1"/>
    </xf>
    <xf numFmtId="0" fontId="21" fillId="2" borderId="0" xfId="2" applyFont="1" applyFill="1" applyBorder="1" applyProtection="1">
      <protection hidden="1"/>
    </xf>
    <xf numFmtId="0" fontId="22" fillId="2" borderId="0" xfId="2" applyFont="1" applyFill="1" applyBorder="1" applyAlignment="1" applyProtection="1">
      <alignment horizontal="left" vertical="center" indent="1"/>
      <protection hidden="1"/>
    </xf>
    <xf numFmtId="165" fontId="2" fillId="4" borderId="4" xfId="4" applyNumberFormat="1" applyFont="1" applyFill="1" applyBorder="1" applyAlignment="1" applyProtection="1">
      <alignment horizontal="center" vertical="center"/>
      <protection hidden="1"/>
    </xf>
    <xf numFmtId="0" fontId="22" fillId="9" borderId="4" xfId="4" applyNumberFormat="1" applyFont="1" applyFill="1" applyBorder="1" applyAlignment="1" applyProtection="1">
      <alignment horizontal="center" vertical="center"/>
      <protection hidden="1"/>
    </xf>
    <xf numFmtId="165" fontId="22" fillId="9" borderId="4" xfId="4" applyNumberFormat="1" applyFont="1" applyFill="1" applyBorder="1" applyAlignment="1" applyProtection="1">
      <alignment horizontal="center" vertical="center"/>
      <protection hidden="1"/>
    </xf>
    <xf numFmtId="164" fontId="6" fillId="9" borderId="4" xfId="1" applyNumberFormat="1" applyFont="1" applyFill="1" applyBorder="1" applyAlignment="1" applyProtection="1">
      <alignment horizontal="center" vertical="center"/>
      <protection hidden="1"/>
    </xf>
    <xf numFmtId="0" fontId="22" fillId="0" borderId="2" xfId="2" applyFont="1" applyFill="1" applyBorder="1" applyAlignment="1" applyProtection="1">
      <alignment horizontal="center" vertical="center"/>
      <protection hidden="1"/>
    </xf>
    <xf numFmtId="0" fontId="14" fillId="4" borderId="4" xfId="0" applyFont="1" applyFill="1" applyBorder="1" applyAlignment="1" applyProtection="1">
      <alignment horizontal="left" indent="1"/>
      <protection hidden="1"/>
    </xf>
    <xf numFmtId="0" fontId="2" fillId="4" borderId="4" xfId="4" applyNumberFormat="1" applyFont="1" applyFill="1" applyBorder="1" applyAlignment="1" applyProtection="1">
      <alignment horizontal="center"/>
      <protection hidden="1"/>
    </xf>
    <xf numFmtId="164" fontId="8" fillId="9" borderId="4" xfId="1" applyNumberFormat="1" applyFont="1" applyFill="1" applyBorder="1" applyAlignment="1" applyProtection="1">
      <alignment horizontal="center" vertical="center" wrapText="1"/>
      <protection hidden="1"/>
    </xf>
    <xf numFmtId="0" fontId="11" fillId="16" borderId="4" xfId="0" applyFont="1" applyFill="1" applyBorder="1" applyAlignment="1" applyProtection="1">
      <alignment vertical="center"/>
      <protection hidden="1"/>
    </xf>
    <xf numFmtId="0" fontId="14" fillId="15" borderId="4" xfId="0" applyFont="1" applyFill="1" applyBorder="1" applyAlignment="1" applyProtection="1">
      <alignment horizontal="center" vertical="center" wrapText="1"/>
      <protection hidden="1"/>
    </xf>
    <xf numFmtId="0" fontId="0" fillId="0" borderId="0" xfId="0" applyAlignment="1" applyProtection="1">
      <alignment wrapText="1"/>
      <protection hidden="1"/>
    </xf>
    <xf numFmtId="0" fontId="2" fillId="2" borderId="0" xfId="2" applyFill="1" applyAlignment="1" applyProtection="1">
      <alignment horizontal="center"/>
      <protection hidden="1"/>
    </xf>
    <xf numFmtId="10" fontId="8" fillId="9" borderId="4" xfId="1" applyNumberFormat="1" applyFont="1" applyFill="1" applyBorder="1" applyAlignment="1" applyProtection="1">
      <alignment horizontal="center" vertical="center" wrapText="1"/>
      <protection hidden="1"/>
    </xf>
    <xf numFmtId="0" fontId="0" fillId="0" borderId="0" xfId="0" applyProtection="1">
      <protection locked="0"/>
    </xf>
    <xf numFmtId="0" fontId="22" fillId="2" borderId="0" xfId="2" applyFont="1" applyFill="1" applyBorder="1" applyAlignment="1" applyProtection="1">
      <alignment horizontal="center" vertical="center"/>
      <protection hidden="1"/>
    </xf>
    <xf numFmtId="3" fontId="14" fillId="4" borderId="8" xfId="0" applyNumberFormat="1" applyFont="1" applyFill="1" applyBorder="1" applyAlignment="1" applyProtection="1">
      <alignment horizontal="center" vertical="center" wrapText="1"/>
      <protection hidden="1"/>
    </xf>
    <xf numFmtId="0" fontId="2" fillId="2" borderId="0" xfId="2" applyFill="1" applyAlignment="1" applyProtection="1">
      <protection hidden="1"/>
    </xf>
    <xf numFmtId="0" fontId="9" fillId="16" borderId="0" xfId="0" applyFont="1" applyFill="1" applyBorder="1" applyAlignment="1" applyProtection="1">
      <alignment horizontal="left" vertical="center"/>
      <protection hidden="1"/>
    </xf>
    <xf numFmtId="0" fontId="2" fillId="4" borderId="4" xfId="4" applyNumberFormat="1" applyFont="1" applyFill="1" applyBorder="1" applyAlignment="1" applyProtection="1">
      <alignment horizontal="center" vertical="center"/>
      <protection hidden="1"/>
    </xf>
    <xf numFmtId="0" fontId="22" fillId="4" borderId="4" xfId="2" applyFont="1" applyFill="1" applyBorder="1" applyAlignment="1" applyProtection="1">
      <alignment horizontal="center" vertical="center"/>
      <protection hidden="1"/>
    </xf>
    <xf numFmtId="0" fontId="14" fillId="4" borderId="4" xfId="0" applyFont="1" applyFill="1" applyBorder="1" applyAlignment="1" applyProtection="1">
      <alignment horizontal="center" vertical="center"/>
      <protection hidden="1"/>
    </xf>
    <xf numFmtId="0" fontId="5" fillId="16" borderId="0" xfId="2" applyFont="1" applyFill="1" applyAlignment="1">
      <alignment horizontal="left" vertical="center" wrapText="1" indent="11"/>
    </xf>
    <xf numFmtId="0" fontId="9" fillId="21" borderId="0" xfId="0" applyFont="1" applyFill="1" applyBorder="1" applyAlignment="1" applyProtection="1">
      <alignment horizontal="left" vertical="center"/>
      <protection hidden="1"/>
    </xf>
    <xf numFmtId="0" fontId="10" fillId="21" borderId="0" xfId="0" applyFont="1" applyFill="1" applyBorder="1" applyAlignment="1" applyProtection="1">
      <alignment vertical="center"/>
      <protection hidden="1"/>
    </xf>
    <xf numFmtId="0" fontId="20" fillId="21" borderId="30" xfId="2" applyFont="1" applyFill="1" applyBorder="1" applyAlignment="1" applyProtection="1">
      <alignment horizontal="center" vertical="center" wrapText="1"/>
      <protection hidden="1"/>
    </xf>
    <xf numFmtId="0" fontId="13" fillId="21" borderId="0" xfId="0" applyFont="1" applyFill="1" applyBorder="1" applyAlignment="1" applyProtection="1">
      <alignment horizontal="center" vertical="center"/>
      <protection hidden="1"/>
    </xf>
    <xf numFmtId="0" fontId="40" fillId="21" borderId="0" xfId="0" applyFont="1" applyFill="1" applyBorder="1" applyAlignment="1" applyProtection="1">
      <alignment vertical="center"/>
      <protection hidden="1"/>
    </xf>
    <xf numFmtId="0" fontId="24" fillId="6" borderId="0" xfId="0" applyFont="1" applyFill="1" applyBorder="1" applyAlignment="1" applyProtection="1">
      <alignment vertical="center"/>
      <protection hidden="1"/>
    </xf>
    <xf numFmtId="0" fontId="8" fillId="10" borderId="4" xfId="0" applyFont="1" applyFill="1" applyBorder="1" applyAlignment="1" applyProtection="1">
      <alignment horizontal="center" vertical="center"/>
      <protection hidden="1"/>
    </xf>
    <xf numFmtId="0" fontId="5" fillId="16" borderId="3" xfId="0" applyFont="1" applyFill="1" applyBorder="1" applyAlignment="1" applyProtection="1">
      <alignment vertical="center"/>
      <protection hidden="1"/>
    </xf>
    <xf numFmtId="0" fontId="5" fillId="16" borderId="31" xfId="0" applyFont="1" applyFill="1" applyBorder="1" applyAlignment="1" applyProtection="1">
      <alignment horizontal="center" vertical="center"/>
      <protection hidden="1"/>
    </xf>
    <xf numFmtId="0" fontId="5" fillId="16" borderId="35" xfId="0" applyFont="1" applyFill="1" applyBorder="1" applyAlignment="1" applyProtection="1">
      <alignment horizontal="left" vertical="center" indent="1"/>
      <protection hidden="1"/>
    </xf>
    <xf numFmtId="0" fontId="5" fillId="21" borderId="0" xfId="2" applyFont="1" applyFill="1" applyAlignment="1">
      <alignment horizontal="left" vertical="center" wrapText="1" indent="11"/>
    </xf>
    <xf numFmtId="0" fontId="5" fillId="21" borderId="35" xfId="0" applyFont="1" applyFill="1" applyBorder="1" applyAlignment="1" applyProtection="1">
      <alignment horizontal="left" vertical="center" indent="1"/>
      <protection hidden="1"/>
    </xf>
    <xf numFmtId="0" fontId="5" fillId="21" borderId="3" xfId="0" applyFont="1" applyFill="1" applyBorder="1" applyAlignment="1" applyProtection="1">
      <alignment vertical="center"/>
      <protection hidden="1"/>
    </xf>
    <xf numFmtId="0" fontId="5" fillId="21" borderId="31" xfId="0" applyFont="1" applyFill="1" applyBorder="1" applyAlignment="1" applyProtection="1">
      <alignment horizontal="center" vertical="center"/>
      <protection hidden="1"/>
    </xf>
    <xf numFmtId="0" fontId="5" fillId="16" borderId="0" xfId="2" applyFont="1" applyFill="1" applyAlignment="1">
      <alignment vertical="top" wrapText="1"/>
    </xf>
    <xf numFmtId="0" fontId="5" fillId="13" borderId="0" xfId="2" applyFont="1" applyFill="1" applyAlignment="1">
      <alignment horizontal="left" vertical="center" wrapText="1" indent="11"/>
    </xf>
    <xf numFmtId="0" fontId="2" fillId="4" borderId="4" xfId="4" applyNumberFormat="1" applyFont="1" applyFill="1" applyBorder="1" applyAlignment="1" applyProtection="1">
      <alignment horizontal="center" vertical="center"/>
      <protection hidden="1"/>
    </xf>
    <xf numFmtId="0" fontId="5" fillId="13" borderId="0" xfId="2" applyFont="1" applyFill="1" applyAlignment="1">
      <alignment vertical="top" wrapText="1"/>
    </xf>
    <xf numFmtId="0" fontId="5" fillId="13" borderId="3" xfId="0" applyFont="1" applyFill="1" applyBorder="1" applyAlignment="1" applyProtection="1">
      <alignment vertical="center"/>
      <protection hidden="1"/>
    </xf>
    <xf numFmtId="0" fontId="5" fillId="13" borderId="31" xfId="0" applyFont="1" applyFill="1" applyBorder="1" applyAlignment="1" applyProtection="1">
      <alignment horizontal="center" vertical="center"/>
      <protection hidden="1"/>
    </xf>
    <xf numFmtId="0" fontId="5" fillId="13" borderId="35" xfId="0" applyFont="1" applyFill="1" applyBorder="1" applyAlignment="1" applyProtection="1">
      <alignment horizontal="left" vertical="center" indent="1"/>
      <protection hidden="1"/>
    </xf>
    <xf numFmtId="0" fontId="5" fillId="6" borderId="35" xfId="0" applyFont="1" applyFill="1" applyBorder="1" applyAlignment="1" applyProtection="1">
      <alignment horizontal="left" vertical="center" indent="1"/>
      <protection hidden="1"/>
    </xf>
    <xf numFmtId="0" fontId="5" fillId="6" borderId="3" xfId="0" applyFont="1" applyFill="1" applyBorder="1" applyAlignment="1" applyProtection="1">
      <alignment vertical="center"/>
      <protection hidden="1"/>
    </xf>
    <xf numFmtId="0" fontId="5" fillId="6" borderId="31" xfId="0" applyFont="1" applyFill="1" applyBorder="1" applyAlignment="1" applyProtection="1">
      <alignment horizontal="center" vertical="center"/>
      <protection hidden="1"/>
    </xf>
    <xf numFmtId="0" fontId="5" fillId="3" borderId="0" xfId="2" applyFont="1" applyFill="1" applyAlignment="1">
      <alignment horizontal="left" vertical="center" wrapText="1" indent="11"/>
    </xf>
    <xf numFmtId="0" fontId="5" fillId="3" borderId="35" xfId="0" applyFont="1" applyFill="1" applyBorder="1" applyAlignment="1" applyProtection="1">
      <alignment horizontal="left" vertical="center" indent="1"/>
      <protection hidden="1"/>
    </xf>
    <xf numFmtId="0" fontId="5" fillId="3" borderId="3" xfId="0" applyFont="1" applyFill="1" applyBorder="1" applyAlignment="1" applyProtection="1">
      <alignment vertical="center"/>
      <protection hidden="1"/>
    </xf>
    <xf numFmtId="0" fontId="5" fillId="3" borderId="31" xfId="0" applyFont="1" applyFill="1" applyBorder="1" applyAlignment="1" applyProtection="1">
      <alignment horizontal="center" vertical="center"/>
      <protection hidden="1"/>
    </xf>
    <xf numFmtId="0" fontId="5" fillId="5" borderId="3" xfId="0" applyFont="1" applyFill="1" applyBorder="1" applyAlignment="1" applyProtection="1">
      <alignment vertical="center"/>
      <protection hidden="1"/>
    </xf>
    <xf numFmtId="0" fontId="5" fillId="5" borderId="31" xfId="0" applyFont="1" applyFill="1" applyBorder="1" applyAlignment="1" applyProtection="1">
      <alignment horizontal="center" vertical="center"/>
      <protection hidden="1"/>
    </xf>
    <xf numFmtId="0" fontId="5" fillId="5" borderId="35" xfId="0" applyFont="1" applyFill="1" applyBorder="1" applyAlignment="1" applyProtection="1">
      <alignment horizontal="left" vertical="center" indent="1"/>
      <protection hidden="1"/>
    </xf>
    <xf numFmtId="0" fontId="9" fillId="16" borderId="0" xfId="0" applyFont="1" applyFill="1" applyBorder="1" applyAlignment="1" applyProtection="1">
      <alignment horizontal="left" vertical="center"/>
      <protection hidden="1"/>
    </xf>
    <xf numFmtId="0" fontId="5" fillId="7" borderId="35" xfId="0" applyFont="1" applyFill="1" applyBorder="1" applyAlignment="1" applyProtection="1">
      <alignment horizontal="left" vertical="center" indent="1"/>
      <protection hidden="1"/>
    </xf>
    <xf numFmtId="0" fontId="5" fillId="7" borderId="3" xfId="0" applyFont="1" applyFill="1" applyBorder="1" applyAlignment="1" applyProtection="1">
      <alignment vertical="center"/>
      <protection hidden="1"/>
    </xf>
    <xf numFmtId="0" fontId="5" fillId="7" borderId="31" xfId="0" applyFont="1" applyFill="1" applyBorder="1" applyAlignment="1" applyProtection="1">
      <alignment horizontal="center" vertical="center"/>
      <protection hidden="1"/>
    </xf>
    <xf numFmtId="0" fontId="53" fillId="24" borderId="42" xfId="4" applyFont="1" applyFill="1" applyBorder="1" applyAlignment="1">
      <alignment vertical="distributed" wrapText="1"/>
    </xf>
    <xf numFmtId="0" fontId="0" fillId="0" borderId="42" xfId="0" applyBorder="1"/>
    <xf numFmtId="0" fontId="0" fillId="10" borderId="0" xfId="0" applyFill="1" applyBorder="1"/>
    <xf numFmtId="0" fontId="0" fillId="10" borderId="0" xfId="0" applyFill="1"/>
    <xf numFmtId="0" fontId="0" fillId="10" borderId="43" xfId="0" applyFill="1" applyBorder="1"/>
    <xf numFmtId="0" fontId="0" fillId="0" borderId="44" xfId="0" applyBorder="1" applyAlignment="1">
      <alignment horizontal="center"/>
    </xf>
    <xf numFmtId="0" fontId="0" fillId="0" borderId="45"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54" fillId="0" borderId="48" xfId="0" applyFont="1" applyBorder="1" applyAlignment="1">
      <alignment horizontal="center" wrapText="1"/>
    </xf>
    <xf numFmtId="0" fontId="54" fillId="0" borderId="49" xfId="0" applyFont="1" applyBorder="1" applyAlignment="1">
      <alignment horizontal="center" wrapText="1"/>
    </xf>
    <xf numFmtId="0" fontId="54" fillId="0" borderId="50" xfId="0" applyFont="1" applyBorder="1" applyAlignment="1">
      <alignment horizontal="center" wrapText="1"/>
    </xf>
    <xf numFmtId="0" fontId="54" fillId="0" borderId="51" xfId="0" applyFont="1" applyBorder="1" applyAlignment="1">
      <alignment horizontal="center" wrapText="1"/>
    </xf>
    <xf numFmtId="0" fontId="0" fillId="0" borderId="48" xfId="0" applyBorder="1" applyAlignment="1">
      <alignment horizontal="center"/>
    </xf>
    <xf numFmtId="0" fontId="54" fillId="0" borderId="52" xfId="0" applyFont="1" applyBorder="1" applyAlignment="1">
      <alignment horizontal="center" wrapText="1"/>
    </xf>
    <xf numFmtId="0" fontId="54" fillId="0" borderId="53" xfId="0" applyFont="1" applyBorder="1" applyAlignment="1">
      <alignment horizontal="center" wrapText="1"/>
    </xf>
    <xf numFmtId="0" fontId="54" fillId="0" borderId="39" xfId="0" applyFont="1" applyBorder="1" applyAlignment="1">
      <alignment horizontal="center" wrapText="1"/>
    </xf>
    <xf numFmtId="0" fontId="54" fillId="0" borderId="54" xfId="0" applyFont="1" applyBorder="1" applyAlignment="1">
      <alignment horizontal="center" wrapText="1"/>
    </xf>
    <xf numFmtId="0" fontId="0" fillId="0" borderId="52" xfId="0" applyBorder="1" applyAlignment="1">
      <alignment horizontal="center"/>
    </xf>
    <xf numFmtId="0" fontId="54" fillId="0" borderId="55" xfId="0" applyFont="1" applyBorder="1" applyAlignment="1">
      <alignment horizontal="center" wrapText="1"/>
    </xf>
    <xf numFmtId="0" fontId="54" fillId="0" borderId="56" xfId="0" applyFont="1" applyBorder="1" applyAlignment="1">
      <alignment horizontal="center" wrapText="1"/>
    </xf>
    <xf numFmtId="0" fontId="54" fillId="0" borderId="57" xfId="0" applyFont="1" applyBorder="1" applyAlignment="1">
      <alignment horizontal="center" wrapText="1"/>
    </xf>
    <xf numFmtId="0" fontId="54" fillId="0" borderId="58" xfId="0" applyFont="1" applyBorder="1" applyAlignment="1">
      <alignment horizontal="center" wrapText="1"/>
    </xf>
    <xf numFmtId="0" fontId="0" fillId="0" borderId="55" xfId="0" applyBorder="1" applyAlignment="1">
      <alignment horizontal="center"/>
    </xf>
    <xf numFmtId="0" fontId="53" fillId="24" borderId="59" xfId="4" applyFont="1" applyFill="1" applyBorder="1" applyAlignment="1">
      <alignment vertical="distributed" wrapText="1"/>
    </xf>
    <xf numFmtId="0" fontId="55" fillId="0" borderId="49" xfId="0" applyFont="1" applyBorder="1" applyAlignment="1">
      <alignment horizontal="center" wrapText="1"/>
    </xf>
    <xf numFmtId="0" fontId="55" fillId="0" borderId="50" xfId="0" applyFont="1" applyBorder="1" applyAlignment="1">
      <alignment horizontal="center" wrapText="1"/>
    </xf>
    <xf numFmtId="0" fontId="55" fillId="0" borderId="51" xfId="0" applyFont="1" applyBorder="1" applyAlignment="1">
      <alignment horizontal="center" wrapText="1"/>
    </xf>
    <xf numFmtId="0" fontId="55" fillId="0" borderId="53" xfId="0" applyFont="1" applyBorder="1" applyAlignment="1">
      <alignment horizontal="center" wrapText="1"/>
    </xf>
    <xf numFmtId="0" fontId="55" fillId="0" borderId="39" xfId="0" applyFont="1" applyBorder="1" applyAlignment="1">
      <alignment horizontal="center" wrapText="1"/>
    </xf>
    <xf numFmtId="0" fontId="55" fillId="0" borderId="54" xfId="0" applyFont="1" applyBorder="1" applyAlignment="1">
      <alignment horizontal="center" wrapText="1"/>
    </xf>
    <xf numFmtId="0" fontId="55" fillId="0" borderId="56" xfId="0" applyFont="1" applyBorder="1" applyAlignment="1">
      <alignment horizontal="center" wrapText="1"/>
    </xf>
    <xf numFmtId="0" fontId="55" fillId="0" borderId="57" xfId="0" applyFont="1" applyBorder="1" applyAlignment="1">
      <alignment horizontal="center" wrapText="1"/>
    </xf>
    <xf numFmtId="0" fontId="55" fillId="0" borderId="58" xfId="0" applyFont="1" applyBorder="1" applyAlignment="1">
      <alignment horizontal="center" wrapText="1"/>
    </xf>
    <xf numFmtId="165" fontId="55" fillId="0" borderId="49" xfId="0" applyNumberFormat="1" applyFont="1" applyBorder="1" applyAlignment="1">
      <alignment horizontal="center" wrapText="1"/>
    </xf>
    <xf numFmtId="165" fontId="55" fillId="0" borderId="50" xfId="0" applyNumberFormat="1" applyFont="1" applyBorder="1" applyAlignment="1">
      <alignment horizontal="center" wrapText="1"/>
    </xf>
    <xf numFmtId="165" fontId="0" fillId="0" borderId="48" xfId="0" applyNumberFormat="1" applyBorder="1" applyAlignment="1">
      <alignment horizontal="center"/>
    </xf>
    <xf numFmtId="165" fontId="55" fillId="0" borderId="53" xfId="0" applyNumberFormat="1" applyFont="1" applyBorder="1" applyAlignment="1">
      <alignment horizontal="center" wrapText="1"/>
    </xf>
    <xf numFmtId="165" fontId="55" fillId="0" borderId="39" xfId="0" applyNumberFormat="1" applyFont="1" applyBorder="1" applyAlignment="1">
      <alignment horizontal="center" wrapText="1"/>
    </xf>
    <xf numFmtId="165" fontId="0" fillId="0" borderId="52" xfId="0" applyNumberFormat="1" applyBorder="1" applyAlignment="1">
      <alignment horizontal="center"/>
    </xf>
    <xf numFmtId="165" fontId="55" fillId="0" borderId="56" xfId="0" applyNumberFormat="1" applyFont="1" applyBorder="1" applyAlignment="1">
      <alignment horizontal="center" wrapText="1"/>
    </xf>
    <xf numFmtId="165" fontId="55" fillId="0" borderId="57" xfId="0" applyNumberFormat="1" applyFont="1" applyBorder="1" applyAlignment="1">
      <alignment horizontal="center" wrapText="1"/>
    </xf>
    <xf numFmtId="165" fontId="55" fillId="0" borderId="58" xfId="0" applyNumberFormat="1" applyFont="1" applyBorder="1" applyAlignment="1">
      <alignment horizontal="center" wrapText="1"/>
    </xf>
    <xf numFmtId="165" fontId="0" fillId="0" borderId="55" xfId="0" applyNumberFormat="1" applyBorder="1" applyAlignment="1">
      <alignment horizontal="center"/>
    </xf>
    <xf numFmtId="0" fontId="57" fillId="10" borderId="0" xfId="5" applyFill="1" applyAlignment="1" applyProtection="1"/>
    <xf numFmtId="167" fontId="13" fillId="23" borderId="40" xfId="4" applyNumberFormat="1" applyFont="1" applyFill="1" applyBorder="1" applyAlignment="1" applyProtection="1">
      <alignment horizontal="center" vertical="center" wrapText="1"/>
      <protection hidden="1"/>
    </xf>
    <xf numFmtId="0" fontId="1" fillId="10" borderId="0" xfId="0" applyFont="1" applyFill="1"/>
    <xf numFmtId="3" fontId="8" fillId="4" borderId="4" xfId="4" applyNumberFormat="1" applyFont="1" applyFill="1" applyBorder="1" applyAlignment="1" applyProtection="1">
      <alignment horizontal="center" vertical="center"/>
      <protection hidden="1"/>
    </xf>
    <xf numFmtId="167" fontId="13" fillId="17" borderId="4" xfId="4" applyNumberFormat="1" applyFont="1" applyFill="1" applyBorder="1" applyAlignment="1" applyProtection="1">
      <alignment horizontal="center" vertical="center" wrapText="1"/>
      <protection hidden="1"/>
    </xf>
    <xf numFmtId="0" fontId="37" fillId="17" borderId="4" xfId="4" applyFont="1" applyFill="1" applyBorder="1" applyAlignment="1" applyProtection="1">
      <alignment horizontal="center" vertical="center" wrapText="1"/>
      <protection hidden="1"/>
    </xf>
    <xf numFmtId="4" fontId="8" fillId="9" borderId="4" xfId="4" applyNumberFormat="1" applyFont="1" applyFill="1" applyBorder="1" applyAlignment="1" applyProtection="1">
      <alignment horizontal="center" vertical="center"/>
      <protection hidden="1"/>
    </xf>
    <xf numFmtId="10" fontId="8" fillId="9" borderId="4" xfId="1" applyNumberFormat="1" applyFont="1" applyFill="1" applyBorder="1" applyAlignment="1" applyProtection="1">
      <alignment horizontal="center" vertical="center"/>
      <protection hidden="1"/>
    </xf>
    <xf numFmtId="0" fontId="62" fillId="10" borderId="4"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3" fontId="14" fillId="20" borderId="4" xfId="0" applyNumberFormat="1" applyFont="1" applyFill="1" applyBorder="1" applyAlignment="1" applyProtection="1">
      <alignment horizontal="center" vertical="center" wrapText="1"/>
      <protection locked="0"/>
    </xf>
    <xf numFmtId="0" fontId="2" fillId="20" borderId="4" xfId="4" applyNumberFormat="1" applyFont="1" applyFill="1" applyBorder="1" applyAlignment="1" applyProtection="1">
      <alignment horizontal="center"/>
      <protection locked="0"/>
    </xf>
    <xf numFmtId="0" fontId="2" fillId="20" borderId="4" xfId="4" applyNumberFormat="1" applyFont="1" applyFill="1" applyBorder="1" applyAlignment="1" applyProtection="1">
      <alignment horizontal="center" vertical="center"/>
      <protection locked="0"/>
    </xf>
    <xf numFmtId="0" fontId="2" fillId="20" borderId="4" xfId="4" applyNumberFormat="1" applyFont="1" applyFill="1" applyBorder="1" applyAlignment="1" applyProtection="1">
      <alignment vertical="center"/>
      <protection locked="0"/>
    </xf>
    <xf numFmtId="0" fontId="14" fillId="20" borderId="31" xfId="0" applyFont="1" applyFill="1" applyBorder="1" applyAlignment="1" applyProtection="1">
      <alignment horizontal="center" vertical="center" wrapText="1"/>
      <protection locked="0" hidden="1"/>
    </xf>
    <xf numFmtId="0" fontId="5" fillId="21" borderId="0" xfId="2" applyFont="1" applyFill="1" applyAlignment="1">
      <alignment horizontal="left" vertical="top" wrapText="1"/>
    </xf>
    <xf numFmtId="0" fontId="4" fillId="21" borderId="4" xfId="0" applyFont="1" applyFill="1" applyBorder="1" applyAlignment="1">
      <alignment horizontal="center" vertical="center"/>
    </xf>
    <xf numFmtId="0" fontId="2" fillId="11" borderId="61" xfId="2" applyFill="1" applyBorder="1" applyProtection="1">
      <protection hidden="1"/>
    </xf>
    <xf numFmtId="0" fontId="2" fillId="11" borderId="62" xfId="2" applyFill="1" applyBorder="1" applyProtection="1">
      <protection hidden="1"/>
    </xf>
    <xf numFmtId="0" fontId="2" fillId="11" borderId="0" xfId="2" applyFill="1" applyBorder="1" applyProtection="1">
      <protection hidden="1"/>
    </xf>
    <xf numFmtId="0" fontId="2" fillId="11" borderId="64" xfId="2" applyFill="1" applyBorder="1" applyProtection="1">
      <protection hidden="1"/>
    </xf>
    <xf numFmtId="0" fontId="2" fillId="11" borderId="26" xfId="2" applyFill="1" applyBorder="1" applyProtection="1">
      <protection hidden="1"/>
    </xf>
    <xf numFmtId="0" fontId="2" fillId="11" borderId="27" xfId="2" applyFill="1" applyBorder="1" applyProtection="1">
      <protection hidden="1"/>
    </xf>
    <xf numFmtId="0" fontId="13" fillId="21" borderId="0" xfId="0" applyFont="1" applyFill="1" applyBorder="1" applyAlignment="1" applyProtection="1">
      <alignment horizontal="center" vertical="center" wrapText="1"/>
      <protection hidden="1"/>
    </xf>
    <xf numFmtId="0" fontId="2" fillId="20" borderId="4" xfId="4" applyNumberFormat="1" applyFont="1" applyFill="1" applyBorder="1" applyAlignment="1" applyProtection="1">
      <alignment horizontal="center" vertical="center"/>
      <protection locked="0"/>
    </xf>
    <xf numFmtId="0" fontId="4" fillId="16" borderId="10" xfId="0" applyFont="1" applyFill="1" applyBorder="1" applyAlignment="1" applyProtection="1">
      <alignment horizontal="center" vertical="center"/>
      <protection hidden="1"/>
    </xf>
    <xf numFmtId="0" fontId="4" fillId="6" borderId="65" xfId="0" applyFont="1" applyFill="1" applyBorder="1" applyAlignment="1" applyProtection="1">
      <alignment horizontal="center" vertical="center"/>
      <protection hidden="1"/>
    </xf>
    <xf numFmtId="0" fontId="6" fillId="9" borderId="65" xfId="2" applyFont="1" applyFill="1" applyBorder="1" applyAlignment="1" applyProtection="1">
      <alignment horizontal="center" vertical="center" wrapText="1"/>
      <protection hidden="1"/>
    </xf>
    <xf numFmtId="0" fontId="4" fillId="6" borderId="65" xfId="0" applyFont="1" applyFill="1" applyBorder="1" applyAlignment="1">
      <alignment horizontal="center" vertical="center"/>
    </xf>
    <xf numFmtId="10" fontId="0" fillId="0" borderId="0" xfId="0" applyNumberFormat="1"/>
    <xf numFmtId="0" fontId="14" fillId="20" borderId="31" xfId="0" applyFont="1" applyFill="1" applyBorder="1" applyAlignment="1" applyProtection="1">
      <alignment horizontal="center" vertical="center" wrapText="1"/>
      <protection locked="0"/>
    </xf>
    <xf numFmtId="0" fontId="22" fillId="2" borderId="0" xfId="2" applyFont="1" applyFill="1" applyBorder="1" applyProtection="1">
      <protection hidden="1"/>
    </xf>
    <xf numFmtId="0" fontId="4" fillId="16" borderId="4" xfId="0" applyFont="1" applyFill="1" applyBorder="1" applyAlignment="1">
      <alignment horizontal="center" vertical="center"/>
    </xf>
    <xf numFmtId="0" fontId="22" fillId="9" borderId="4" xfId="2" applyFont="1" applyFill="1" applyBorder="1" applyAlignment="1">
      <alignment horizontal="center"/>
    </xf>
    <xf numFmtId="0" fontId="9" fillId="21" borderId="0" xfId="0" applyFont="1" applyFill="1" applyBorder="1" applyAlignment="1" applyProtection="1">
      <alignment horizontal="left" vertical="center"/>
      <protection hidden="1"/>
    </xf>
    <xf numFmtId="0" fontId="13" fillId="17" borderId="4" xfId="4" applyFont="1" applyFill="1" applyBorder="1" applyAlignment="1" applyProtection="1">
      <alignment horizontal="center" vertical="center" wrapText="1"/>
      <protection hidden="1"/>
    </xf>
    <xf numFmtId="0" fontId="9" fillId="16" borderId="0" xfId="0" applyFont="1" applyFill="1" applyBorder="1" applyAlignment="1" applyProtection="1">
      <alignment horizontal="left" vertical="center" indent="1"/>
      <protection hidden="1"/>
    </xf>
    <xf numFmtId="0" fontId="2" fillId="25" borderId="0" xfId="2" applyFill="1" applyProtection="1">
      <protection hidden="1"/>
    </xf>
    <xf numFmtId="0" fontId="2" fillId="26" borderId="0" xfId="2" applyFill="1" applyProtection="1">
      <protection hidden="1"/>
    </xf>
    <xf numFmtId="0" fontId="9" fillId="21" borderId="0" xfId="0" applyFont="1" applyFill="1" applyBorder="1" applyAlignment="1" applyProtection="1">
      <alignment vertical="center"/>
      <protection hidden="1"/>
    </xf>
    <xf numFmtId="0" fontId="9" fillId="21" borderId="0" xfId="0" applyFont="1" applyFill="1" applyBorder="1" applyAlignment="1" applyProtection="1">
      <alignment horizontal="left" vertical="center" indent="1"/>
      <protection hidden="1"/>
    </xf>
    <xf numFmtId="0" fontId="14" fillId="20" borderId="4" xfId="0" applyFont="1" applyFill="1" applyBorder="1" applyAlignment="1" applyProtection="1">
      <alignment horizontal="center" vertical="center" wrapText="1"/>
      <protection locked="0" hidden="1"/>
    </xf>
    <xf numFmtId="0" fontId="6" fillId="9" borderId="4" xfId="2" applyNumberFormat="1" applyFont="1" applyFill="1" applyBorder="1" applyAlignment="1" applyProtection="1">
      <alignment horizontal="center" vertical="center" wrapText="1"/>
      <protection hidden="1"/>
    </xf>
    <xf numFmtId="0" fontId="8" fillId="9" borderId="4" xfId="2" applyNumberFormat="1" applyFont="1" applyFill="1" applyBorder="1" applyAlignment="1" applyProtection="1">
      <alignment horizontal="center" vertical="center" wrapText="1"/>
      <protection hidden="1"/>
    </xf>
    <xf numFmtId="0" fontId="8" fillId="2" borderId="0" xfId="2" applyFont="1" applyFill="1" applyBorder="1" applyProtection="1">
      <protection hidden="1"/>
    </xf>
    <xf numFmtId="0" fontId="8" fillId="2" borderId="0" xfId="2" applyFont="1" applyFill="1" applyProtection="1">
      <protection hidden="1"/>
    </xf>
    <xf numFmtId="0" fontId="2" fillId="2" borderId="0" xfId="2" applyFont="1" applyFill="1" applyBorder="1" applyProtection="1">
      <protection hidden="1"/>
    </xf>
    <xf numFmtId="0" fontId="2" fillId="2" borderId="0" xfId="2" applyFont="1" applyFill="1" applyProtection="1">
      <protection hidden="1"/>
    </xf>
    <xf numFmtId="0" fontId="2" fillId="25" borderId="0" xfId="2" applyFill="1" applyBorder="1" applyProtection="1">
      <protection hidden="1"/>
    </xf>
    <xf numFmtId="0" fontId="2" fillId="25" borderId="3" xfId="2" applyFill="1" applyBorder="1" applyProtection="1">
      <protection hidden="1"/>
    </xf>
    <xf numFmtId="0" fontId="2" fillId="25" borderId="38" xfId="2" applyFill="1" applyBorder="1" applyProtection="1">
      <protection hidden="1"/>
    </xf>
    <xf numFmtId="0" fontId="2" fillId="26" borderId="0" xfId="2" applyFill="1" applyBorder="1" applyProtection="1">
      <protection hidden="1"/>
    </xf>
    <xf numFmtId="2" fontId="2" fillId="10" borderId="4" xfId="0" applyNumberFormat="1" applyFont="1" applyFill="1" applyBorder="1" applyAlignment="1" applyProtection="1">
      <alignment horizontal="center" vertical="center" wrapText="1"/>
      <protection hidden="1"/>
    </xf>
    <xf numFmtId="0" fontId="22" fillId="25" borderId="0" xfId="2" applyFont="1" applyFill="1" applyBorder="1" applyAlignment="1" applyProtection="1">
      <alignment horizontal="right"/>
      <protection hidden="1"/>
    </xf>
    <xf numFmtId="2" fontId="22" fillId="4" borderId="4" xfId="2" applyNumberFormat="1" applyFont="1" applyFill="1" applyBorder="1" applyAlignment="1" applyProtection="1">
      <alignment horizontal="center" vertical="center" wrapText="1"/>
      <protection hidden="1"/>
    </xf>
    <xf numFmtId="0" fontId="0" fillId="25" borderId="0" xfId="0" applyFill="1" applyProtection="1">
      <protection hidden="1"/>
    </xf>
    <xf numFmtId="0" fontId="4" fillId="21" borderId="4" xfId="0" applyFont="1" applyFill="1" applyBorder="1" applyAlignment="1" applyProtection="1">
      <alignment horizontal="center" vertical="center"/>
      <protection hidden="1"/>
    </xf>
    <xf numFmtId="0" fontId="22" fillId="26" borderId="0" xfId="2" applyFont="1" applyFill="1" applyBorder="1" applyProtection="1">
      <protection hidden="1"/>
    </xf>
    <xf numFmtId="0" fontId="2" fillId="25" borderId="0" xfId="2" applyFont="1" applyFill="1" applyBorder="1" applyAlignment="1" applyProtection="1">
      <alignment horizontal="left" indent="1"/>
      <protection hidden="1"/>
    </xf>
    <xf numFmtId="2" fontId="8" fillId="9" borderId="4" xfId="2" applyNumberFormat="1" applyFont="1" applyFill="1" applyBorder="1" applyAlignment="1" applyProtection="1">
      <alignment horizontal="center" vertical="center" wrapText="1"/>
      <protection hidden="1"/>
    </xf>
    <xf numFmtId="0" fontId="13" fillId="17" borderId="4" xfId="4" applyFont="1" applyFill="1" applyBorder="1" applyAlignment="1" applyProtection="1">
      <alignment horizontal="center" vertical="center" wrapText="1"/>
      <protection hidden="1"/>
    </xf>
    <xf numFmtId="0" fontId="13" fillId="17" borderId="10" xfId="4"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71" fillId="2" borderId="0" xfId="3" applyFont="1" applyFill="1" applyAlignment="1" applyProtection="1">
      <alignment horizontal="center"/>
      <protection hidden="1"/>
    </xf>
    <xf numFmtId="0" fontId="72" fillId="2" borderId="0" xfId="2" applyFont="1" applyFill="1" applyAlignment="1" applyProtection="1">
      <alignment horizontal="center"/>
      <protection hidden="1"/>
    </xf>
    <xf numFmtId="0" fontId="2" fillId="4" borderId="10" xfId="2" applyFont="1" applyFill="1" applyBorder="1" applyAlignment="1" applyProtection="1">
      <alignment horizontal="center" vertical="center" wrapText="1"/>
      <protection hidden="1"/>
    </xf>
    <xf numFmtId="0" fontId="2" fillId="27" borderId="0" xfId="2" applyFill="1" applyProtection="1">
      <protection hidden="1"/>
    </xf>
    <xf numFmtId="0" fontId="74" fillId="2" borderId="0" xfId="3" applyFont="1" applyFill="1" applyAlignment="1" applyProtection="1">
      <alignment horizontal="center"/>
      <protection hidden="1"/>
    </xf>
    <xf numFmtId="0" fontId="2" fillId="27" borderId="0" xfId="2" applyFill="1" applyBorder="1" applyProtection="1">
      <protection hidden="1"/>
    </xf>
    <xf numFmtId="0" fontId="9" fillId="16" borderId="0" xfId="0" applyFont="1" applyFill="1" applyBorder="1" applyAlignment="1" applyProtection="1">
      <alignment vertical="center"/>
      <protection hidden="1"/>
    </xf>
    <xf numFmtId="0" fontId="2" fillId="20" borderId="4" xfId="4" applyNumberFormat="1"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protection hidden="1"/>
    </xf>
    <xf numFmtId="0" fontId="22" fillId="26" borderId="0" xfId="2" applyFont="1" applyFill="1" applyBorder="1" applyAlignment="1">
      <alignment horizontal="right"/>
    </xf>
    <xf numFmtId="0" fontId="22" fillId="11" borderId="1" xfId="2" applyFont="1" applyFill="1" applyBorder="1" applyAlignment="1" applyProtection="1">
      <alignment horizontal="center" vertical="center"/>
      <protection hidden="1"/>
    </xf>
    <xf numFmtId="164" fontId="8" fillId="9" borderId="4" xfId="1" applyNumberFormat="1" applyFont="1" applyFill="1" applyBorder="1" applyAlignment="1" applyProtection="1">
      <alignment horizontal="center" vertical="center"/>
      <protection hidden="1"/>
    </xf>
    <xf numFmtId="0" fontId="2" fillId="26" borderId="0" xfId="2" applyFill="1"/>
    <xf numFmtId="0" fontId="75" fillId="0" borderId="0" xfId="0" applyFont="1"/>
    <xf numFmtId="0" fontId="75" fillId="0" borderId="0" xfId="0" applyFont="1" applyAlignment="1"/>
    <xf numFmtId="0" fontId="2" fillId="25" borderId="0" xfId="2" applyFill="1" applyBorder="1"/>
    <xf numFmtId="0" fontId="2" fillId="25" borderId="0" xfId="2" applyFill="1" applyBorder="1" applyAlignment="1"/>
    <xf numFmtId="0" fontId="22" fillId="25" borderId="0" xfId="2" applyFont="1" applyFill="1" applyBorder="1"/>
    <xf numFmtId="0" fontId="22" fillId="25" borderId="0" xfId="2" applyFont="1" applyFill="1" applyProtection="1">
      <protection hidden="1"/>
    </xf>
    <xf numFmtId="0" fontId="77" fillId="2" borderId="0" xfId="3" applyFont="1" applyFill="1" applyAlignment="1" applyProtection="1">
      <alignment horizontal="center"/>
      <protection hidden="1"/>
    </xf>
    <xf numFmtId="0" fontId="14" fillId="20" borderId="4" xfId="0" applyFont="1" applyFill="1" applyBorder="1" applyAlignment="1" applyProtection="1">
      <alignment horizontal="center" vertical="center" wrapText="1"/>
      <protection locked="0"/>
    </xf>
    <xf numFmtId="4" fontId="2" fillId="20" borderId="4" xfId="4" applyNumberFormat="1" applyFont="1" applyFill="1" applyBorder="1" applyAlignment="1" applyProtection="1">
      <alignment horizontal="left" vertical="center" wrapText="1"/>
      <protection locked="0"/>
    </xf>
    <xf numFmtId="3" fontId="2" fillId="20" borderId="4" xfId="4" applyNumberFormat="1" applyFont="1" applyFill="1" applyBorder="1" applyAlignment="1" applyProtection="1">
      <alignment horizontal="center" vertical="center"/>
      <protection locked="0"/>
    </xf>
    <xf numFmtId="4" fontId="2" fillId="20" borderId="4" xfId="4" applyNumberFormat="1" applyFont="1" applyFill="1" applyBorder="1" applyAlignment="1" applyProtection="1">
      <alignment horizontal="center" vertical="center"/>
      <protection locked="0"/>
    </xf>
    <xf numFmtId="4" fontId="2" fillId="20" borderId="10" xfId="4" applyNumberFormat="1" applyFont="1" applyFill="1" applyBorder="1" applyAlignment="1" applyProtection="1">
      <alignment horizontal="center" vertical="center"/>
      <protection locked="0"/>
    </xf>
    <xf numFmtId="0" fontId="4" fillId="3" borderId="65" xfId="0" applyFont="1" applyFill="1" applyBorder="1" applyAlignment="1" applyProtection="1">
      <alignment horizontal="center" vertical="center"/>
      <protection hidden="1"/>
    </xf>
    <xf numFmtId="0" fontId="4" fillId="3" borderId="65" xfId="0" applyFont="1" applyFill="1" applyBorder="1" applyAlignment="1">
      <alignment horizontal="center" vertical="center"/>
    </xf>
    <xf numFmtId="0" fontId="5" fillId="3" borderId="0" xfId="2" applyFont="1" applyFill="1" applyAlignment="1">
      <alignment vertical="top" wrapText="1"/>
    </xf>
    <xf numFmtId="0" fontId="22"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4" fillId="3" borderId="4" xfId="0" applyFont="1" applyFill="1" applyBorder="1" applyAlignment="1" applyProtection="1">
      <alignment horizontal="center" vertical="center"/>
      <protection hidden="1"/>
    </xf>
    <xf numFmtId="0" fontId="8" fillId="20" borderId="2" xfId="2" applyFont="1" applyFill="1" applyBorder="1" applyAlignment="1" applyProtection="1">
      <alignment horizontal="center" vertical="center"/>
      <protection locked="0"/>
    </xf>
    <xf numFmtId="0" fontId="4" fillId="6" borderId="4" xfId="0" applyFont="1" applyFill="1" applyBorder="1" applyAlignment="1" applyProtection="1">
      <alignment horizontal="center" vertical="center"/>
      <protection hidden="1"/>
    </xf>
    <xf numFmtId="0" fontId="4" fillId="6" borderId="4" xfId="0" applyFont="1" applyFill="1" applyBorder="1" applyAlignment="1">
      <alignment horizontal="center" vertical="center"/>
    </xf>
    <xf numFmtId="0" fontId="4" fillId="3" borderId="4" xfId="0" applyFont="1" applyFill="1" applyBorder="1" applyAlignment="1">
      <alignment horizontal="center" vertical="center"/>
    </xf>
    <xf numFmtId="0" fontId="10" fillId="6" borderId="0" xfId="0" applyFont="1" applyFill="1" applyBorder="1" applyAlignment="1" applyProtection="1">
      <alignment horizontal="left" vertical="center" indent="1"/>
      <protection hidden="1"/>
    </xf>
    <xf numFmtId="0" fontId="10" fillId="3" borderId="0" xfId="0" applyFont="1" applyFill="1" applyBorder="1" applyAlignment="1" applyProtection="1">
      <alignment horizontal="left" vertical="center" indent="1"/>
      <protection hidden="1"/>
    </xf>
    <xf numFmtId="0" fontId="7" fillId="2" borderId="0" xfId="2" applyFont="1" applyFill="1" applyProtection="1">
      <protection hidden="1"/>
    </xf>
    <xf numFmtId="0" fontId="7" fillId="2" borderId="0" xfId="2" applyFont="1" applyFill="1" applyBorder="1" applyProtection="1">
      <protection hidden="1"/>
    </xf>
    <xf numFmtId="20" fontId="2" fillId="11" borderId="0" xfId="2" applyNumberFormat="1" applyFont="1" applyFill="1"/>
    <xf numFmtId="0" fontId="0" fillId="26" borderId="0" xfId="0" applyFill="1"/>
    <xf numFmtId="0" fontId="14" fillId="20" borderId="4" xfId="0" applyFont="1" applyFill="1" applyBorder="1" applyAlignment="1" applyProtection="1">
      <alignment horizontal="center" vertical="center" wrapText="1"/>
      <protection locked="0"/>
    </xf>
    <xf numFmtId="0" fontId="14" fillId="20" borderId="65" xfId="0" applyFont="1" applyFill="1" applyBorder="1" applyAlignment="1" applyProtection="1">
      <alignment horizontal="center" vertical="center" wrapText="1"/>
      <protection locked="0"/>
    </xf>
    <xf numFmtId="0" fontId="9" fillId="5" borderId="0" xfId="0" applyFont="1" applyFill="1" applyBorder="1" applyAlignment="1" applyProtection="1">
      <alignment vertical="center"/>
      <protection hidden="1"/>
    </xf>
    <xf numFmtId="0" fontId="9" fillId="5" borderId="0" xfId="0" applyFont="1" applyFill="1" applyBorder="1" applyAlignment="1" applyProtection="1">
      <alignment horizontal="left" vertical="center" indent="1"/>
      <protection hidden="1"/>
    </xf>
    <xf numFmtId="0" fontId="4" fillId="5" borderId="65" xfId="0" applyFont="1" applyFill="1" applyBorder="1" applyAlignment="1" applyProtection="1">
      <alignment horizontal="center" vertical="center"/>
      <protection hidden="1"/>
    </xf>
    <xf numFmtId="10" fontId="8" fillId="9" borderId="65" xfId="1" applyNumberFormat="1" applyFont="1" applyFill="1" applyBorder="1" applyAlignment="1" applyProtection="1">
      <alignment horizontal="center" vertical="center" wrapText="1"/>
      <protection hidden="1"/>
    </xf>
    <xf numFmtId="0" fontId="22" fillId="11" borderId="1" xfId="2" applyFont="1" applyFill="1" applyBorder="1" applyAlignment="1" applyProtection="1">
      <alignment horizontal="center" vertical="center"/>
      <protection hidden="1"/>
    </xf>
    <xf numFmtId="0" fontId="11" fillId="5" borderId="4" xfId="0" applyFont="1" applyFill="1" applyBorder="1" applyAlignment="1" applyProtection="1">
      <alignment horizontal="left" vertical="center" wrapText="1" indent="1"/>
      <protection hidden="1"/>
    </xf>
    <xf numFmtId="0" fontId="5" fillId="13" borderId="0" xfId="2" applyFont="1" applyFill="1" applyAlignment="1">
      <alignment horizontal="center" vertical="center" wrapText="1"/>
    </xf>
    <xf numFmtId="0" fontId="51" fillId="13" borderId="0" xfId="2" applyFont="1" applyFill="1" applyAlignment="1">
      <alignment horizontal="left" vertical="center"/>
    </xf>
    <xf numFmtId="0" fontId="5" fillId="13" borderId="0" xfId="2" applyFont="1" applyFill="1" applyAlignment="1">
      <alignment horizontal="left" vertical="top" wrapText="1"/>
    </xf>
    <xf numFmtId="0" fontId="51" fillId="3" borderId="0" xfId="2" applyFont="1" applyFill="1" applyAlignment="1">
      <alignment horizontal="left" vertical="center" wrapText="1"/>
    </xf>
    <xf numFmtId="0" fontId="5" fillId="3" borderId="0" xfId="2" applyFont="1" applyFill="1" applyAlignment="1">
      <alignment horizontal="left" vertical="center" wrapText="1"/>
    </xf>
    <xf numFmtId="0" fontId="14" fillId="20" borderId="4" xfId="0" applyFont="1" applyFill="1" applyBorder="1" applyAlignment="1" applyProtection="1">
      <alignment horizontal="center" vertical="center" wrapText="1"/>
      <protection locked="0"/>
    </xf>
    <xf numFmtId="166" fontId="14" fillId="10" borderId="77" xfId="0" applyNumberFormat="1" applyFont="1" applyFill="1" applyBorder="1" applyAlignment="1" applyProtection="1">
      <alignment horizontal="center" vertical="center" wrapText="1"/>
      <protection hidden="1"/>
    </xf>
    <xf numFmtId="164" fontId="8" fillId="9" borderId="65" xfId="1" applyNumberFormat="1" applyFont="1" applyFill="1" applyBorder="1" applyAlignment="1" applyProtection="1">
      <alignment horizontal="center" vertical="center"/>
      <protection hidden="1"/>
    </xf>
    <xf numFmtId="0" fontId="2" fillId="25" borderId="0" xfId="2" applyFill="1" applyAlignment="1" applyProtection="1">
      <alignment horizontal="left" indent="1"/>
      <protection hidden="1"/>
    </xf>
    <xf numFmtId="0" fontId="40" fillId="16" borderId="0" xfId="0" applyFont="1" applyFill="1" applyBorder="1" applyAlignment="1" applyProtection="1">
      <alignment horizontal="left" vertical="center" indent="1"/>
      <protection hidden="1"/>
    </xf>
    <xf numFmtId="0" fontId="22" fillId="11" borderId="1" xfId="2" applyFont="1" applyFill="1" applyBorder="1" applyAlignment="1" applyProtection="1">
      <alignment horizontal="center" vertical="center"/>
      <protection hidden="1"/>
    </xf>
    <xf numFmtId="0" fontId="14" fillId="10" borderId="4" xfId="0" applyFont="1" applyFill="1" applyBorder="1" applyAlignment="1">
      <alignment horizontal="center" vertical="center" wrapText="1"/>
    </xf>
    <xf numFmtId="0" fontId="39" fillId="6" borderId="0" xfId="0" applyFont="1" applyFill="1" applyBorder="1" applyProtection="1">
      <protection hidden="1"/>
    </xf>
    <xf numFmtId="0" fontId="0" fillId="11" borderId="0" xfId="0" applyFont="1" applyFill="1" applyProtection="1">
      <protection hidden="1"/>
    </xf>
    <xf numFmtId="0" fontId="0" fillId="0" borderId="0" xfId="0" applyFont="1"/>
    <xf numFmtId="0" fontId="39" fillId="6" borderId="0" xfId="0" applyFont="1" applyFill="1" applyProtection="1">
      <protection hidden="1"/>
    </xf>
    <xf numFmtId="0" fontId="0" fillId="11" borderId="0" xfId="0" applyFont="1" applyFill="1" applyAlignment="1" applyProtection="1">
      <alignment vertical="top" wrapText="1"/>
      <protection hidden="1"/>
    </xf>
    <xf numFmtId="0" fontId="4" fillId="5" borderId="4" xfId="0" applyFont="1" applyFill="1" applyBorder="1" applyAlignment="1" applyProtection="1">
      <alignment horizontal="center" vertical="center"/>
      <protection hidden="1"/>
    </xf>
    <xf numFmtId="0" fontId="21" fillId="2" borderId="0" xfId="2" applyFont="1" applyFill="1" applyProtection="1">
      <protection hidden="1"/>
    </xf>
    <xf numFmtId="0" fontId="5" fillId="13" borderId="0" xfId="2" applyFont="1" applyFill="1" applyAlignment="1">
      <alignment horizontal="left" vertical="top" wrapText="1"/>
    </xf>
    <xf numFmtId="0" fontId="2" fillId="2" borderId="0" xfId="0" applyFont="1" applyFill="1" applyBorder="1" applyAlignment="1" applyProtection="1">
      <alignment horizontal="left" vertical="center"/>
      <protection hidden="1"/>
    </xf>
    <xf numFmtId="9" fontId="8" fillId="9" borderId="4" xfId="1" applyFont="1" applyFill="1" applyBorder="1" applyAlignment="1" applyProtection="1">
      <alignment horizontal="center" vertical="center" wrapText="1"/>
      <protection hidden="1"/>
    </xf>
    <xf numFmtId="2" fontId="14" fillId="20" borderId="4" xfId="0" applyNumberFormat="1" applyFont="1" applyFill="1" applyBorder="1" applyAlignment="1" applyProtection="1">
      <alignment horizontal="center" vertical="center" wrapText="1"/>
      <protection locked="0" hidden="1"/>
    </xf>
    <xf numFmtId="2" fontId="8" fillId="9" borderId="4" xfId="1" applyNumberFormat="1" applyFont="1" applyFill="1" applyBorder="1" applyAlignment="1" applyProtection="1">
      <alignment horizontal="center" vertical="center" wrapText="1"/>
      <protection hidden="1"/>
    </xf>
    <xf numFmtId="0" fontId="73" fillId="2" borderId="0" xfId="2" applyFont="1" applyFill="1" applyAlignment="1" applyProtection="1">
      <alignment vertical="center" wrapText="1"/>
      <protection hidden="1"/>
    </xf>
    <xf numFmtId="0" fontId="73" fillId="2" borderId="26" xfId="2" applyFont="1" applyFill="1" applyBorder="1" applyAlignment="1" applyProtection="1">
      <alignment vertical="center" wrapText="1"/>
      <protection hidden="1"/>
    </xf>
    <xf numFmtId="0" fontId="8" fillId="9" borderId="4" xfId="1" applyNumberFormat="1" applyFont="1" applyFill="1" applyBorder="1" applyAlignment="1" applyProtection="1">
      <alignment horizontal="center" vertical="center" wrapText="1"/>
      <protection hidden="1"/>
    </xf>
    <xf numFmtId="0" fontId="4" fillId="13" borderId="65" xfId="0" applyFont="1" applyFill="1" applyBorder="1" applyAlignment="1" applyProtection="1">
      <alignment horizontal="center" vertical="center"/>
      <protection hidden="1"/>
    </xf>
    <xf numFmtId="0" fontId="4" fillId="13" borderId="65" xfId="0" applyFont="1" applyFill="1" applyBorder="1" applyAlignment="1">
      <alignment horizontal="center" vertical="center"/>
    </xf>
    <xf numFmtId="0" fontId="20" fillId="13" borderId="30" xfId="2" applyFont="1" applyFill="1" applyBorder="1" applyAlignment="1" applyProtection="1">
      <alignment horizontal="center" vertical="center" wrapText="1"/>
      <protection hidden="1"/>
    </xf>
    <xf numFmtId="0" fontId="2" fillId="20" borderId="5" xfId="2" applyFont="1" applyFill="1" applyBorder="1" applyAlignment="1" applyProtection="1">
      <alignment horizontal="center" vertical="center"/>
      <protection locked="0"/>
    </xf>
    <xf numFmtId="0" fontId="4" fillId="13" borderId="4" xfId="0" applyFont="1" applyFill="1" applyBorder="1" applyAlignment="1" applyProtection="1">
      <alignment horizontal="center" vertical="center"/>
      <protection hidden="1"/>
    </xf>
    <xf numFmtId="0" fontId="4" fillId="13" borderId="4" xfId="0" applyFont="1" applyFill="1" applyBorder="1" applyAlignment="1">
      <alignment horizontal="center" vertical="center"/>
    </xf>
    <xf numFmtId="164" fontId="8" fillId="4" borderId="4" xfId="1" applyNumberFormat="1" applyFont="1" applyFill="1" applyBorder="1" applyAlignment="1">
      <alignment horizontal="center" vertical="center" wrapText="1"/>
    </xf>
    <xf numFmtId="0" fontId="22" fillId="2" borderId="0" xfId="2" applyFont="1" applyFill="1" applyBorder="1" applyAlignment="1"/>
    <xf numFmtId="0" fontId="22" fillId="2" borderId="0" xfId="0" applyFont="1" applyFill="1" applyBorder="1" applyAlignment="1" applyProtection="1">
      <alignment horizontal="left" vertical="center" wrapText="1"/>
      <protection hidden="1"/>
    </xf>
    <xf numFmtId="0" fontId="22" fillId="11" borderId="1" xfId="2" applyFont="1" applyFill="1" applyBorder="1" applyAlignment="1" applyProtection="1">
      <alignment horizontal="center" vertical="center"/>
      <protection hidden="1"/>
    </xf>
    <xf numFmtId="0" fontId="4" fillId="16" borderId="10" xfId="0" applyFont="1" applyFill="1" applyBorder="1" applyAlignment="1" applyProtection="1">
      <alignment horizontal="center" vertical="center"/>
      <protection hidden="1"/>
    </xf>
    <xf numFmtId="166" fontId="14" fillId="10" borderId="65" xfId="0" applyNumberFormat="1" applyFont="1" applyFill="1" applyBorder="1" applyAlignment="1" applyProtection="1">
      <alignment horizontal="center" vertical="center" wrapText="1"/>
      <protection hidden="1"/>
    </xf>
    <xf numFmtId="0" fontId="14" fillId="4" borderId="4" xfId="0" applyFont="1" applyFill="1" applyBorder="1" applyAlignment="1" applyProtection="1">
      <alignment horizontal="center" vertical="center" wrapText="1"/>
      <protection hidden="1"/>
    </xf>
    <xf numFmtId="0" fontId="22" fillId="4" borderId="4" xfId="2" applyFont="1" applyFill="1" applyBorder="1" applyAlignment="1" applyProtection="1">
      <alignment horizontal="center" vertical="center" wrapText="1"/>
      <protection hidden="1"/>
    </xf>
    <xf numFmtId="0" fontId="9" fillId="21" borderId="0" xfId="0" applyFont="1" applyFill="1" applyBorder="1" applyAlignment="1" applyProtection="1">
      <alignment horizontal="left" vertical="center" indent="1"/>
      <protection hidden="1"/>
    </xf>
    <xf numFmtId="0" fontId="22"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22" fillId="2" borderId="0" xfId="0" applyFont="1" applyFill="1" applyBorder="1" applyAlignment="1" applyProtection="1">
      <alignment horizontal="left" vertical="center"/>
      <protection hidden="1"/>
    </xf>
    <xf numFmtId="0" fontId="11" fillId="5" borderId="32" xfId="2" applyFont="1" applyFill="1" applyBorder="1"/>
    <xf numFmtId="0" fontId="51" fillId="5" borderId="34" xfId="2" applyFont="1" applyFill="1" applyBorder="1" applyAlignment="1">
      <alignment horizontal="left" vertical="center" wrapText="1"/>
    </xf>
    <xf numFmtId="0" fontId="11" fillId="5" borderId="38" xfId="2" applyFont="1" applyFill="1" applyBorder="1"/>
    <xf numFmtId="0" fontId="51" fillId="5" borderId="22" xfId="2" applyFont="1" applyFill="1" applyBorder="1" applyAlignment="1">
      <alignment horizontal="left" vertical="center" wrapText="1"/>
    </xf>
    <xf numFmtId="0" fontId="51" fillId="5" borderId="22" xfId="2" applyFont="1" applyFill="1" applyBorder="1" applyAlignment="1">
      <alignment vertical="center" wrapText="1"/>
    </xf>
    <xf numFmtId="0" fontId="5" fillId="5" borderId="22" xfId="2" applyFont="1" applyFill="1" applyBorder="1" applyAlignment="1">
      <alignment horizontal="left" vertical="top" wrapText="1"/>
    </xf>
    <xf numFmtId="0" fontId="5" fillId="5" borderId="38" xfId="2" applyFont="1" applyFill="1" applyBorder="1" applyAlignment="1">
      <alignment horizontal="left" vertical="center" wrapText="1" indent="11"/>
    </xf>
    <xf numFmtId="0" fontId="5" fillId="5" borderId="35" xfId="2" applyFont="1" applyFill="1" applyBorder="1" applyAlignment="1">
      <alignment horizontal="left" vertical="center" wrapText="1" indent="11"/>
    </xf>
    <xf numFmtId="0" fontId="5" fillId="5" borderId="36" xfId="2" applyFont="1" applyFill="1" applyBorder="1" applyAlignment="1">
      <alignment horizontal="left" vertical="top" wrapText="1"/>
    </xf>
    <xf numFmtId="0" fontId="2" fillId="2" borderId="32" xfId="2" applyFont="1" applyFill="1" applyBorder="1"/>
    <xf numFmtId="0" fontId="2" fillId="2" borderId="33" xfId="2" applyFont="1" applyFill="1" applyBorder="1"/>
    <xf numFmtId="0" fontId="2" fillId="2" borderId="34" xfId="2" applyFont="1" applyFill="1" applyBorder="1"/>
    <xf numFmtId="0" fontId="2" fillId="2" borderId="38" xfId="2" applyFont="1" applyFill="1" applyBorder="1"/>
    <xf numFmtId="0" fontId="2" fillId="2" borderId="0" xfId="2" applyFont="1" applyFill="1" applyBorder="1"/>
    <xf numFmtId="0" fontId="2" fillId="2" borderId="22" xfId="2" applyFont="1" applyFill="1" applyBorder="1"/>
    <xf numFmtId="0" fontId="2" fillId="2" borderId="35" xfId="2" applyFont="1" applyFill="1" applyBorder="1"/>
    <xf numFmtId="0" fontId="2" fillId="2" borderId="3" xfId="2" applyFont="1" applyFill="1" applyBorder="1"/>
    <xf numFmtId="0" fontId="2" fillId="2" borderId="36" xfId="2" applyFont="1" applyFill="1" applyBorder="1"/>
    <xf numFmtId="0" fontId="5" fillId="5" borderId="0" xfId="2" applyFont="1" applyFill="1" applyBorder="1" applyAlignment="1">
      <alignment vertical="top" wrapText="1"/>
    </xf>
    <xf numFmtId="0" fontId="5" fillId="5" borderId="3" xfId="2" applyFont="1" applyFill="1" applyBorder="1" applyAlignment="1">
      <alignment vertical="top" wrapText="1"/>
    </xf>
    <xf numFmtId="0" fontId="5" fillId="21" borderId="0" xfId="2" applyFont="1" applyFill="1" applyAlignment="1">
      <alignment vertical="top" wrapText="1"/>
    </xf>
    <xf numFmtId="0" fontId="11" fillId="21" borderId="32" xfId="2" applyFont="1" applyFill="1" applyBorder="1"/>
    <xf numFmtId="0" fontId="51" fillId="21" borderId="34" xfId="2" applyFont="1" applyFill="1" applyBorder="1" applyAlignment="1">
      <alignment horizontal="left" vertical="center"/>
    </xf>
    <xf numFmtId="0" fontId="11" fillId="21" borderId="38" xfId="2" applyFont="1" applyFill="1" applyBorder="1"/>
    <xf numFmtId="0" fontId="51" fillId="21" borderId="22" xfId="2" applyFont="1" applyFill="1" applyBorder="1" applyAlignment="1">
      <alignment horizontal="left" vertical="center"/>
    </xf>
    <xf numFmtId="0" fontId="5" fillId="21" borderId="22" xfId="2" applyFont="1" applyFill="1" applyBorder="1" applyAlignment="1">
      <alignment horizontal="left" vertical="top" wrapText="1"/>
    </xf>
    <xf numFmtId="0" fontId="5" fillId="21" borderId="38" xfId="2" applyFont="1" applyFill="1" applyBorder="1" applyAlignment="1">
      <alignment horizontal="left" vertical="center" wrapText="1" indent="11"/>
    </xf>
    <xf numFmtId="0" fontId="5" fillId="21" borderId="0" xfId="2" applyFont="1" applyFill="1" applyBorder="1" applyAlignment="1">
      <alignment vertical="top" wrapText="1"/>
    </xf>
    <xf numFmtId="0" fontId="5" fillId="21" borderId="35" xfId="2" applyFont="1" applyFill="1" applyBorder="1" applyAlignment="1">
      <alignment horizontal="left" vertical="center" wrapText="1" indent="11"/>
    </xf>
    <xf numFmtId="0" fontId="5" fillId="21" borderId="3" xfId="2" applyFont="1" applyFill="1" applyBorder="1" applyAlignment="1">
      <alignment vertical="top" wrapText="1"/>
    </xf>
    <xf numFmtId="0" fontId="5" fillId="21" borderId="36" xfId="2" applyFont="1" applyFill="1" applyBorder="1" applyAlignment="1">
      <alignment horizontal="left" vertical="top" wrapText="1"/>
    </xf>
    <xf numFmtId="0" fontId="7" fillId="2" borderId="0" xfId="2" applyFont="1" applyFill="1" applyBorder="1" applyAlignment="1">
      <alignment horizontal="left" vertical="center" wrapText="1"/>
    </xf>
    <xf numFmtId="0" fontId="7" fillId="2" borderId="22" xfId="2" applyFont="1" applyFill="1" applyBorder="1" applyAlignment="1">
      <alignment horizontal="left" vertical="center" wrapText="1"/>
    </xf>
    <xf numFmtId="0" fontId="11" fillId="16" borderId="32" xfId="2" applyFont="1" applyFill="1" applyBorder="1"/>
    <xf numFmtId="0" fontId="51" fillId="16" borderId="34" xfId="2" applyFont="1" applyFill="1" applyBorder="1" applyAlignment="1">
      <alignment horizontal="left" vertical="center"/>
    </xf>
    <xf numFmtId="0" fontId="11" fillId="16" borderId="38" xfId="2" applyFont="1" applyFill="1" applyBorder="1"/>
    <xf numFmtId="0" fontId="51" fillId="16" borderId="22" xfId="2" applyFont="1" applyFill="1" applyBorder="1" applyAlignment="1">
      <alignment horizontal="left" vertical="center"/>
    </xf>
    <xf numFmtId="0" fontId="5" fillId="16" borderId="22" xfId="2" applyFont="1" applyFill="1" applyBorder="1" applyAlignment="1">
      <alignment horizontal="left" vertical="top" wrapText="1"/>
    </xf>
    <xf numFmtId="0" fontId="5" fillId="16" borderId="38" xfId="2" applyFont="1" applyFill="1" applyBorder="1" applyAlignment="1">
      <alignment horizontal="left" vertical="center" wrapText="1" indent="11"/>
    </xf>
    <xf numFmtId="0" fontId="5" fillId="16" borderId="0" xfId="2" applyFont="1" applyFill="1" applyBorder="1" applyAlignment="1">
      <alignment vertical="top" wrapText="1"/>
    </xf>
    <xf numFmtId="0" fontId="5" fillId="16" borderId="22" xfId="2" applyFont="1" applyFill="1" applyBorder="1" applyAlignment="1">
      <alignment vertical="top" wrapText="1"/>
    </xf>
    <xf numFmtId="0" fontId="5" fillId="16" borderId="36" xfId="2" applyFont="1" applyFill="1" applyBorder="1" applyAlignment="1">
      <alignment horizontal="center" vertical="center" wrapText="1"/>
    </xf>
    <xf numFmtId="0" fontId="2" fillId="28" borderId="0" xfId="2" applyFill="1" applyBorder="1" applyProtection="1">
      <protection hidden="1"/>
    </xf>
    <xf numFmtId="0" fontId="50" fillId="16" borderId="4" xfId="0" applyFont="1" applyFill="1" applyBorder="1" applyAlignment="1">
      <alignment horizontal="center" vertical="center" wrapText="1"/>
    </xf>
    <xf numFmtId="0" fontId="14" fillId="15" borderId="4" xfId="0" applyFont="1" applyFill="1" applyBorder="1" applyAlignment="1">
      <alignment horizontal="center" vertical="center" wrapText="1"/>
    </xf>
    <xf numFmtId="0" fontId="2" fillId="11" borderId="26" xfId="2" applyFont="1" applyFill="1" applyBorder="1"/>
    <xf numFmtId="0" fontId="22" fillId="28" borderId="0" xfId="2" applyFont="1" applyFill="1" applyBorder="1" applyProtection="1">
      <protection hidden="1"/>
    </xf>
    <xf numFmtId="0" fontId="25" fillId="6" borderId="0" xfId="2" applyFont="1" applyFill="1" applyBorder="1" applyAlignment="1" applyProtection="1">
      <alignment wrapText="1"/>
      <protection hidden="1"/>
    </xf>
    <xf numFmtId="0" fontId="13" fillId="13" borderId="77" xfId="0" applyFont="1" applyFill="1" applyBorder="1" applyAlignment="1" applyProtection="1">
      <alignment horizontal="center" vertical="center" wrapText="1"/>
      <protection hidden="1"/>
    </xf>
    <xf numFmtId="0" fontId="13" fillId="13" borderId="79" xfId="0" applyFont="1" applyFill="1" applyBorder="1" applyAlignment="1" applyProtection="1">
      <alignment horizontal="center" vertical="center" wrapText="1"/>
      <protection hidden="1"/>
    </xf>
    <xf numFmtId="0" fontId="50" fillId="6" borderId="65" xfId="0" applyFont="1" applyFill="1" applyBorder="1" applyAlignment="1">
      <alignment horizontal="center" vertical="center" wrapText="1"/>
    </xf>
    <xf numFmtId="0" fontId="87" fillId="15" borderId="65" xfId="0" applyFont="1" applyFill="1" applyBorder="1" applyAlignment="1">
      <alignment horizontal="center" vertical="center" wrapText="1"/>
    </xf>
    <xf numFmtId="0" fontId="13" fillId="21" borderId="10" xfId="0" applyFont="1" applyFill="1" applyBorder="1" applyAlignment="1" applyProtection="1">
      <alignment horizontal="center" vertical="center"/>
      <protection hidden="1"/>
    </xf>
    <xf numFmtId="0" fontId="61" fillId="11" borderId="0" xfId="0" applyFont="1" applyFill="1"/>
    <xf numFmtId="0" fontId="64" fillId="6" borderId="0" xfId="2" applyFont="1" applyFill="1"/>
    <xf numFmtId="0" fontId="0" fillId="11" borderId="0" xfId="0" applyFont="1" applyFill="1"/>
    <xf numFmtId="0" fontId="89" fillId="6" borderId="0" xfId="0" applyFont="1" applyFill="1" applyBorder="1" applyAlignment="1" applyProtection="1">
      <alignment vertical="center"/>
      <protection hidden="1"/>
    </xf>
    <xf numFmtId="0" fontId="91" fillId="6" borderId="0" xfId="0" applyFont="1" applyFill="1" applyBorder="1" applyAlignment="1" applyProtection="1">
      <alignment vertical="center"/>
      <protection hidden="1"/>
    </xf>
    <xf numFmtId="0" fontId="83" fillId="11" borderId="0" xfId="0" applyFont="1" applyFill="1"/>
    <xf numFmtId="0" fontId="14" fillId="20" borderId="65" xfId="0" applyFont="1" applyFill="1" applyBorder="1" applyAlignment="1" applyProtection="1">
      <alignment horizontal="center" vertical="center" wrapText="1"/>
      <protection hidden="1"/>
    </xf>
    <xf numFmtId="0" fontId="11" fillId="7" borderId="32" xfId="2" applyFont="1" applyFill="1" applyBorder="1"/>
    <xf numFmtId="0" fontId="51" fillId="7" borderId="34" xfId="2" applyFont="1" applyFill="1" applyBorder="1" applyAlignment="1">
      <alignment horizontal="left" vertical="center"/>
    </xf>
    <xf numFmtId="0" fontId="11" fillId="7" borderId="38" xfId="2" applyFont="1" applyFill="1" applyBorder="1"/>
    <xf numFmtId="0" fontId="51" fillId="7" borderId="22" xfId="2" applyFont="1" applyFill="1" applyBorder="1" applyAlignment="1">
      <alignment horizontal="left" vertical="center"/>
    </xf>
    <xf numFmtId="0" fontId="5" fillId="7" borderId="22" xfId="2" applyFont="1" applyFill="1" applyBorder="1" applyAlignment="1">
      <alignment horizontal="left" vertical="top" wrapText="1"/>
    </xf>
    <xf numFmtId="0" fontId="5" fillId="7" borderId="38" xfId="2" applyFont="1" applyFill="1" applyBorder="1" applyAlignment="1">
      <alignment horizontal="left" vertical="center" wrapText="1" indent="11"/>
    </xf>
    <xf numFmtId="0" fontId="5" fillId="7" borderId="0" xfId="2" applyFont="1" applyFill="1" applyBorder="1" applyAlignment="1">
      <alignment vertical="top" wrapText="1"/>
    </xf>
    <xf numFmtId="0" fontId="5" fillId="7" borderId="22" xfId="2" applyFont="1" applyFill="1" applyBorder="1" applyAlignment="1">
      <alignment vertical="top" wrapText="1"/>
    </xf>
    <xf numFmtId="0" fontId="5" fillId="7" borderId="36" xfId="2" applyFont="1" applyFill="1" applyBorder="1" applyAlignment="1">
      <alignment horizontal="center" vertical="center" wrapText="1"/>
    </xf>
    <xf numFmtId="166" fontId="14" fillId="10" borderId="87" xfId="0" applyNumberFormat="1" applyFont="1" applyFill="1" applyBorder="1" applyAlignment="1" applyProtection="1">
      <alignment horizontal="center" vertical="center" wrapText="1"/>
      <protection hidden="1"/>
    </xf>
    <xf numFmtId="0" fontId="9" fillId="7" borderId="0" xfId="0" applyFont="1" applyFill="1" applyBorder="1" applyAlignment="1" applyProtection="1">
      <alignment horizontal="left" vertical="center" indent="1"/>
      <protection hidden="1"/>
    </xf>
    <xf numFmtId="0" fontId="9" fillId="7" borderId="0" xfId="0" applyFont="1" applyFill="1" applyBorder="1" applyAlignment="1" applyProtection="1">
      <alignment vertical="center"/>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0" fontId="2" fillId="21" borderId="0" xfId="2" applyFill="1" applyProtection="1">
      <protection hidden="1"/>
    </xf>
    <xf numFmtId="0" fontId="0" fillId="21" borderId="0" xfId="0" applyFill="1" applyProtection="1">
      <protection hidden="1"/>
    </xf>
    <xf numFmtId="0" fontId="94" fillId="29" borderId="0" xfId="0" applyFont="1" applyFill="1" applyAlignment="1">
      <alignment vertical="center"/>
    </xf>
    <xf numFmtId="0" fontId="95" fillId="11" borderId="0" xfId="0" applyFont="1" applyFill="1"/>
    <xf numFmtId="2" fontId="2" fillId="4" borderId="4" xfId="1" applyNumberFormat="1" applyFont="1" applyFill="1" applyBorder="1" applyAlignment="1" applyProtection="1">
      <alignment horizontal="center" vertical="center" wrapText="1"/>
      <protection hidden="1"/>
    </xf>
    <xf numFmtId="164" fontId="8" fillId="9" borderId="4" xfId="1" applyNumberFormat="1" applyFont="1" applyFill="1" applyBorder="1" applyAlignment="1" applyProtection="1">
      <alignment horizontal="center" vertical="center" wrapText="1"/>
      <protection hidden="1"/>
    </xf>
    <xf numFmtId="0" fontId="90" fillId="6" borderId="0" xfId="0" applyFont="1" applyFill="1" applyBorder="1" applyAlignment="1" applyProtection="1">
      <alignment vertical="center"/>
      <protection hidden="1"/>
    </xf>
    <xf numFmtId="0" fontId="8" fillId="9" borderId="4" xfId="2" applyFont="1" applyFill="1" applyBorder="1" applyAlignment="1" applyProtection="1">
      <alignment horizontal="center" vertical="center" wrapText="1"/>
      <protection hidden="1"/>
    </xf>
    <xf numFmtId="10" fontId="19" fillId="9" borderId="4" xfId="1" applyNumberFormat="1" applyFont="1" applyFill="1" applyBorder="1" applyAlignment="1" applyProtection="1">
      <alignment horizontal="center" vertical="center" wrapText="1"/>
      <protection hidden="1"/>
    </xf>
    <xf numFmtId="0" fontId="2" fillId="10" borderId="4" xfId="2" applyFont="1" applyFill="1" applyBorder="1" applyAlignment="1" applyProtection="1">
      <alignment horizontal="center" vertical="center" wrapText="1"/>
      <protection hidden="1"/>
    </xf>
    <xf numFmtId="166" fontId="14" fillId="20" borderId="31" xfId="0" applyNumberFormat="1" applyFont="1" applyFill="1" applyBorder="1" applyAlignment="1" applyProtection="1">
      <alignment horizontal="center" vertical="center" wrapText="1"/>
      <protection locked="0"/>
    </xf>
    <xf numFmtId="0" fontId="11" fillId="6" borderId="3" xfId="0" applyFont="1" applyFill="1" applyBorder="1" applyAlignment="1">
      <alignment horizontal="center" vertical="center"/>
    </xf>
    <xf numFmtId="0" fontId="21" fillId="28" borderId="0" xfId="2" applyFont="1" applyFill="1" applyAlignment="1" applyProtection="1">
      <alignment horizontal="left" indent="1"/>
      <protection hidden="1"/>
    </xf>
    <xf numFmtId="0" fontId="2" fillId="7" borderId="0" xfId="2" applyFill="1" applyProtection="1">
      <protection hidden="1"/>
    </xf>
    <xf numFmtId="0" fontId="10" fillId="7" borderId="0" xfId="0" applyFont="1" applyFill="1" applyBorder="1" applyAlignment="1" applyProtection="1">
      <alignment horizontal="left" vertical="center" indent="1"/>
      <protection hidden="1"/>
    </xf>
    <xf numFmtId="0" fontId="10" fillId="7" borderId="0" xfId="0" applyFont="1" applyFill="1" applyBorder="1" applyAlignment="1" applyProtection="1">
      <alignment vertical="center"/>
      <protection hidden="1"/>
    </xf>
    <xf numFmtId="0" fontId="20" fillId="7" borderId="30" xfId="2" applyFont="1" applyFill="1" applyBorder="1" applyAlignment="1" applyProtection="1">
      <alignment horizontal="center" vertical="center" wrapText="1"/>
      <protection hidden="1"/>
    </xf>
    <xf numFmtId="0" fontId="4" fillId="7" borderId="65" xfId="0" applyFont="1" applyFill="1" applyBorder="1" applyAlignment="1" applyProtection="1">
      <alignment horizontal="center" vertical="center"/>
      <protection hidden="1"/>
    </xf>
    <xf numFmtId="0" fontId="2" fillId="2" borderId="0" xfId="2" applyFont="1" applyFill="1" applyBorder="1" applyAlignment="1" applyProtection="1">
      <protection hidden="1"/>
    </xf>
    <xf numFmtId="0" fontId="22" fillId="26" borderId="0" xfId="2" applyFont="1" applyFill="1" applyBorder="1"/>
    <xf numFmtId="0" fontId="2" fillId="26" borderId="0" xfId="2" applyFill="1" applyBorder="1"/>
    <xf numFmtId="0" fontId="2" fillId="26" borderId="0" xfId="2" applyFill="1" applyBorder="1" applyAlignment="1" applyProtection="1">
      <alignment horizontal="left" indent="1"/>
      <protection hidden="1"/>
    </xf>
    <xf numFmtId="0" fontId="13" fillId="21" borderId="7" xfId="0" applyFont="1" applyFill="1" applyBorder="1" applyAlignment="1" applyProtection="1">
      <alignment horizontal="center" vertical="center"/>
      <protection hidden="1"/>
    </xf>
    <xf numFmtId="0" fontId="14" fillId="4" borderId="31" xfId="0" applyFont="1" applyFill="1" applyBorder="1" applyAlignment="1" applyProtection="1">
      <alignment horizontal="center" vertical="center" wrapText="1"/>
      <protection hidden="1"/>
    </xf>
    <xf numFmtId="0" fontId="2" fillId="4" borderId="31" xfId="2"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0" fontId="22"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2" fillId="2" borderId="6" xfId="2" applyFill="1" applyBorder="1" applyProtection="1">
      <protection hidden="1"/>
    </xf>
    <xf numFmtId="0" fontId="50" fillId="6" borderId="4" xfId="0" applyFont="1" applyFill="1" applyBorder="1" applyAlignment="1">
      <alignment horizontal="center" vertical="center" wrapText="1"/>
    </xf>
    <xf numFmtId="0" fontId="21" fillId="2" borderId="0" xfId="2" applyFont="1" applyFill="1" applyBorder="1" applyAlignment="1" applyProtection="1">
      <alignment vertical="center"/>
      <protection hidden="1"/>
    </xf>
    <xf numFmtId="0" fontId="87" fillId="15" borderId="4" xfId="0" applyFont="1" applyFill="1" applyBorder="1" applyAlignment="1">
      <alignment horizontal="center" vertical="center" wrapText="1"/>
    </xf>
    <xf numFmtId="2" fontId="8" fillId="9" borderId="4" xfId="2" applyNumberFormat="1" applyFont="1" applyFill="1" applyBorder="1" applyAlignment="1">
      <alignment horizontal="center" vertical="center"/>
    </xf>
    <xf numFmtId="164" fontId="8" fillId="9" borderId="4" xfId="1" applyNumberFormat="1" applyFont="1" applyFill="1" applyBorder="1" applyAlignment="1">
      <alignment horizontal="center" vertical="center"/>
    </xf>
    <xf numFmtId="0" fontId="13" fillId="6" borderId="10"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protection hidden="1"/>
    </xf>
    <xf numFmtId="0" fontId="2" fillId="25" borderId="0" xfId="2" applyFill="1" applyBorder="1" applyAlignment="1" applyProtection="1">
      <alignment wrapText="1"/>
      <protection hidden="1"/>
    </xf>
    <xf numFmtId="0" fontId="2" fillId="25" borderId="0" xfId="2" applyFill="1" applyBorder="1" applyAlignment="1" applyProtection="1">
      <alignment vertical="center" wrapText="1"/>
      <protection hidden="1"/>
    </xf>
    <xf numFmtId="0" fontId="2" fillId="25" borderId="0" xfId="2" applyFill="1" applyBorder="1" applyAlignment="1" applyProtection="1">
      <alignment vertical="top" wrapText="1"/>
      <protection hidden="1"/>
    </xf>
    <xf numFmtId="0" fontId="13" fillId="6" borderId="7" xfId="0" applyFont="1" applyFill="1" applyBorder="1" applyAlignment="1" applyProtection="1">
      <alignment horizontal="center" vertical="center" wrapText="1"/>
      <protection hidden="1"/>
    </xf>
    <xf numFmtId="0" fontId="11" fillId="6" borderId="32" xfId="2" applyFont="1" applyFill="1" applyBorder="1"/>
    <xf numFmtId="0" fontId="51" fillId="6" borderId="34" xfId="2" applyFont="1" applyFill="1" applyBorder="1" applyAlignment="1">
      <alignment horizontal="left" vertical="center" wrapText="1"/>
    </xf>
    <xf numFmtId="0" fontId="11" fillId="6" borderId="38" xfId="2" applyFont="1" applyFill="1" applyBorder="1"/>
    <xf numFmtId="0" fontId="51" fillId="6" borderId="22" xfId="2" applyFont="1" applyFill="1" applyBorder="1" applyAlignment="1">
      <alignment horizontal="left" vertical="center" wrapText="1"/>
    </xf>
    <xf numFmtId="0" fontId="51" fillId="6" borderId="0" xfId="2" applyFont="1" applyFill="1" applyBorder="1" applyAlignment="1">
      <alignment vertical="center" wrapText="1"/>
    </xf>
    <xf numFmtId="0" fontId="51" fillId="6" borderId="22" xfId="2" applyFont="1" applyFill="1" applyBorder="1" applyAlignment="1">
      <alignment vertical="center" wrapText="1"/>
    </xf>
    <xf numFmtId="0" fontId="5" fillId="6" borderId="22" xfId="2" applyFont="1" applyFill="1" applyBorder="1" applyAlignment="1">
      <alignment horizontal="left" vertical="top" wrapText="1"/>
    </xf>
    <xf numFmtId="0" fontId="5" fillId="6" borderId="38" xfId="2" applyFont="1" applyFill="1" applyBorder="1" applyAlignment="1">
      <alignment horizontal="left" vertical="center" wrapText="1" indent="11"/>
    </xf>
    <xf numFmtId="0" fontId="5" fillId="6" borderId="35" xfId="2" applyFont="1" applyFill="1" applyBorder="1" applyAlignment="1">
      <alignment horizontal="left" vertical="center" wrapText="1" indent="11"/>
    </xf>
    <xf numFmtId="0" fontId="5" fillId="6" borderId="36" xfId="2" applyFont="1" applyFill="1" applyBorder="1" applyAlignment="1">
      <alignment horizontal="left" vertical="top" wrapText="1"/>
    </xf>
    <xf numFmtId="0" fontId="5" fillId="6" borderId="0" xfId="2" applyFont="1" applyFill="1" applyBorder="1" applyAlignment="1">
      <alignment vertical="top" wrapText="1"/>
    </xf>
    <xf numFmtId="0" fontId="5" fillId="6" borderId="3" xfId="2" applyFont="1" applyFill="1" applyBorder="1" applyAlignment="1">
      <alignment vertical="top" wrapText="1"/>
    </xf>
    <xf numFmtId="0" fontId="11" fillId="3" borderId="10" xfId="2" applyFont="1" applyFill="1" applyBorder="1" applyAlignment="1" applyProtection="1">
      <alignment horizontal="center" vertical="center"/>
      <protection hidden="1"/>
    </xf>
    <xf numFmtId="0" fontId="11" fillId="3" borderId="8" xfId="2" applyFont="1" applyFill="1" applyBorder="1" applyAlignment="1" applyProtection="1">
      <alignment horizontal="center" wrapText="1"/>
      <protection hidden="1"/>
    </xf>
    <xf numFmtId="0" fontId="14" fillId="20" borderId="81" xfId="0" applyFont="1" applyFill="1" applyBorder="1" applyAlignment="1" applyProtection="1">
      <alignment horizontal="center" vertical="center" wrapText="1"/>
      <protection locked="0"/>
    </xf>
    <xf numFmtId="0" fontId="11" fillId="3" borderId="7" xfId="2" applyFont="1" applyFill="1" applyBorder="1" applyAlignment="1" applyProtection="1">
      <alignment horizontal="center" vertical="center" wrapText="1"/>
      <protection hidden="1"/>
    </xf>
    <xf numFmtId="0" fontId="11" fillId="3" borderId="8" xfId="2" applyFont="1" applyFill="1" applyBorder="1" applyAlignment="1" applyProtection="1">
      <alignment horizontal="center" vertical="center" wrapText="1"/>
      <protection hidden="1"/>
    </xf>
    <xf numFmtId="0" fontId="22" fillId="2" borderId="0" xfId="2" applyFont="1" applyFill="1" applyProtection="1">
      <protection hidden="1"/>
    </xf>
    <xf numFmtId="0" fontId="109" fillId="2" borderId="0" xfId="2" applyFont="1" applyFill="1" applyBorder="1" applyProtection="1">
      <protection hidden="1"/>
    </xf>
    <xf numFmtId="0" fontId="109" fillId="2" borderId="0" xfId="2" applyFont="1" applyFill="1" applyBorder="1" applyAlignment="1" applyProtection="1">
      <alignment horizontal="left" vertical="center" indent="1"/>
      <protection hidden="1"/>
    </xf>
    <xf numFmtId="0" fontId="109" fillId="2" borderId="0" xfId="2" applyFont="1" applyFill="1" applyBorder="1" applyAlignment="1" applyProtection="1">
      <alignment horizontal="center"/>
      <protection hidden="1"/>
    </xf>
    <xf numFmtId="166" fontId="8" fillId="4" borderId="4" xfId="4" applyNumberFormat="1" applyFont="1" applyFill="1" applyBorder="1" applyAlignment="1" applyProtection="1">
      <alignment horizontal="center" vertical="center"/>
      <protection hidden="1"/>
    </xf>
    <xf numFmtId="4" fontId="2" fillId="10" borderId="4" xfId="4" applyNumberFormat="1" applyFont="1" applyFill="1" applyBorder="1" applyAlignment="1" applyProtection="1">
      <alignment horizontal="center" vertical="center"/>
      <protection hidden="1"/>
    </xf>
    <xf numFmtId="3" fontId="2" fillId="10" borderId="4" xfId="4" applyNumberFormat="1" applyFont="1" applyFill="1" applyBorder="1" applyAlignment="1" applyProtection="1">
      <alignment horizontal="center" vertical="center"/>
      <protection hidden="1"/>
    </xf>
    <xf numFmtId="0" fontId="2" fillId="2" borderId="0" xfId="2" applyFill="1" applyBorder="1" applyAlignment="1">
      <alignment wrapText="1"/>
    </xf>
    <xf numFmtId="0" fontId="13" fillId="13" borderId="10" xfId="0" applyFont="1" applyFill="1" applyBorder="1" applyAlignment="1" applyProtection="1">
      <alignment horizontal="center" vertical="center" wrapText="1"/>
      <protection hidden="1"/>
    </xf>
    <xf numFmtId="0" fontId="13" fillId="13" borderId="7" xfId="0" applyFont="1" applyFill="1" applyBorder="1" applyAlignment="1" applyProtection="1">
      <alignment horizontal="center" vertical="center" wrapText="1"/>
      <protection hidden="1"/>
    </xf>
    <xf numFmtId="0" fontId="21" fillId="2" borderId="0" xfId="2" applyFont="1" applyFill="1" applyBorder="1" applyAlignment="1"/>
    <xf numFmtId="0" fontId="22" fillId="11" borderId="1" xfId="2" applyFont="1" applyFill="1" applyBorder="1" applyAlignment="1" applyProtection="1">
      <alignment horizontal="center" vertical="center"/>
      <protection hidden="1"/>
    </xf>
    <xf numFmtId="0" fontId="22" fillId="11" borderId="2" xfId="2" applyFont="1" applyFill="1" applyBorder="1" applyAlignment="1" applyProtection="1">
      <alignment horizontal="center" vertical="center"/>
      <protection hidden="1"/>
    </xf>
    <xf numFmtId="0" fontId="22" fillId="11" borderId="1" xfId="2" applyFont="1" applyFill="1" applyBorder="1" applyAlignment="1">
      <alignment horizontal="center" vertical="center"/>
    </xf>
    <xf numFmtId="0" fontId="20" fillId="13" borderId="29" xfId="2" applyFont="1" applyFill="1" applyBorder="1" applyAlignment="1" applyProtection="1">
      <alignment horizontal="center" vertical="center" wrapText="1"/>
      <protection hidden="1"/>
    </xf>
    <xf numFmtId="165" fontId="8" fillId="4" borderId="4" xfId="1" applyNumberFormat="1" applyFont="1" applyFill="1" applyBorder="1" applyAlignment="1">
      <alignment horizontal="center" vertical="center" wrapText="1"/>
    </xf>
    <xf numFmtId="0" fontId="13" fillId="21" borderId="7" xfId="0"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0" fontId="22" fillId="11" borderId="1" xfId="2" applyFont="1" applyFill="1" applyBorder="1" applyAlignment="1" applyProtection="1">
      <alignment horizontal="center" vertical="center"/>
      <protection hidden="1"/>
    </xf>
    <xf numFmtId="0" fontId="20" fillId="21" borderId="29" xfId="2" applyFont="1" applyFill="1" applyBorder="1" applyAlignment="1" applyProtection="1">
      <alignment horizontal="center" vertical="center" wrapText="1"/>
      <protection hidden="1"/>
    </xf>
    <xf numFmtId="0" fontId="2" fillId="2" borderId="63" xfId="2" applyFill="1" applyBorder="1" applyProtection="1">
      <protection hidden="1"/>
    </xf>
    <xf numFmtId="0" fontId="2" fillId="20" borderId="31" xfId="2" applyFont="1" applyFill="1" applyBorder="1" applyAlignment="1" applyProtection="1">
      <alignment horizontal="center" vertical="center"/>
      <protection locked="0"/>
    </xf>
    <xf numFmtId="0" fontId="83" fillId="20" borderId="31" xfId="0" applyFont="1" applyFill="1" applyBorder="1" applyAlignment="1" applyProtection="1">
      <alignment horizontal="center"/>
      <protection locked="0"/>
    </xf>
    <xf numFmtId="0" fontId="2" fillId="20" borderId="4" xfId="2" applyFont="1" applyFill="1" applyBorder="1" applyAlignment="1" applyProtection="1">
      <alignment horizontal="center" vertical="center"/>
      <protection locked="0"/>
    </xf>
    <xf numFmtId="0" fontId="50" fillId="8" borderId="93" xfId="0" applyFont="1" applyFill="1" applyBorder="1" applyAlignment="1">
      <alignment horizontal="center" vertical="center" wrapText="1"/>
    </xf>
    <xf numFmtId="0" fontId="50" fillId="8" borderId="16" xfId="0" applyFont="1" applyFill="1" applyBorder="1" applyAlignment="1">
      <alignment horizontal="center" vertical="center" wrapText="1"/>
    </xf>
    <xf numFmtId="0" fontId="50" fillId="8" borderId="96" xfId="0" applyFont="1" applyFill="1" applyBorder="1" applyAlignment="1">
      <alignment horizontal="center" vertical="center" wrapText="1"/>
    </xf>
    <xf numFmtId="0" fontId="50" fillId="8" borderId="94" xfId="0" applyFont="1" applyFill="1" applyBorder="1" applyAlignment="1">
      <alignment horizontal="center" vertical="center"/>
    </xf>
    <xf numFmtId="0" fontId="50" fillId="8" borderId="94" xfId="0" applyFont="1" applyFill="1" applyBorder="1" applyAlignment="1">
      <alignment horizontal="center" vertical="center" wrapText="1"/>
    </xf>
    <xf numFmtId="0" fontId="14" fillId="15" borderId="16" xfId="0" applyFont="1" applyFill="1" applyBorder="1" applyAlignment="1">
      <alignment horizontal="center" vertical="center"/>
    </xf>
    <xf numFmtId="0" fontId="14" fillId="15" borderId="96" xfId="0" applyFont="1" applyFill="1" applyBorder="1" applyAlignment="1">
      <alignment horizontal="center" vertical="center"/>
    </xf>
    <xf numFmtId="0" fontId="14" fillId="15" borderId="96" xfId="0" applyFont="1" applyFill="1" applyBorder="1" applyAlignment="1">
      <alignment horizontal="center" vertical="center" wrapText="1"/>
    </xf>
    <xf numFmtId="164" fontId="2" fillId="10" borderId="31" xfId="1" applyNumberFormat="1" applyFont="1" applyFill="1" applyBorder="1" applyAlignment="1" applyProtection="1">
      <alignment horizontal="center" vertical="center"/>
      <protection hidden="1"/>
    </xf>
    <xf numFmtId="2" fontId="8" fillId="4" borderId="4" xfId="2" applyNumberFormat="1" applyFont="1" applyFill="1" applyBorder="1" applyAlignment="1">
      <alignment horizontal="center" vertical="center"/>
    </xf>
    <xf numFmtId="164" fontId="8" fillId="4" borderId="4" xfId="1" applyNumberFormat="1" applyFont="1" applyFill="1" applyBorder="1" applyAlignment="1">
      <alignment horizontal="center" vertical="center"/>
    </xf>
    <xf numFmtId="2" fontId="2" fillId="10" borderId="31" xfId="2" applyNumberFormat="1" applyFont="1" applyFill="1" applyBorder="1" applyAlignment="1" applyProtection="1">
      <alignment horizontal="center" vertical="center"/>
      <protection hidden="1"/>
    </xf>
    <xf numFmtId="2" fontId="14" fillId="10" borderId="4" xfId="0" applyNumberFormat="1" applyFont="1" applyFill="1" applyBorder="1" applyAlignment="1">
      <alignment horizontal="center" vertical="center" wrapText="1"/>
    </xf>
    <xf numFmtId="0" fontId="76" fillId="4" borderId="4" xfId="0" applyFont="1" applyFill="1" applyBorder="1" applyAlignment="1">
      <alignment horizontal="center" vertical="center" wrapText="1"/>
    </xf>
    <xf numFmtId="0" fontId="14" fillId="20" borderId="4" xfId="0" applyNumberFormat="1" applyFont="1" applyFill="1" applyBorder="1" applyAlignment="1" applyProtection="1">
      <alignment horizontal="center" vertical="center" wrapText="1"/>
      <protection locked="0"/>
    </xf>
    <xf numFmtId="164" fontId="2" fillId="4" borderId="4" xfId="1" applyNumberFormat="1" applyFont="1" applyFill="1" applyBorder="1" applyAlignment="1" applyProtection="1">
      <alignment horizontal="center" vertical="center"/>
      <protection hidden="1"/>
    </xf>
    <xf numFmtId="164" fontId="2" fillId="4" borderId="31" xfId="1" applyNumberFormat="1" applyFont="1" applyFill="1" applyBorder="1" applyAlignment="1" applyProtection="1">
      <alignment horizontal="center" vertical="center"/>
      <protection hidden="1"/>
    </xf>
    <xf numFmtId="0" fontId="50" fillId="21" borderId="10" xfId="0" applyFont="1" applyFill="1" applyBorder="1" applyAlignment="1">
      <alignment horizontal="center" vertical="center" wrapText="1"/>
    </xf>
    <xf numFmtId="0" fontId="11" fillId="21" borderId="7" xfId="2" applyFont="1" applyFill="1" applyBorder="1" applyAlignment="1" applyProtection="1">
      <alignment horizontal="center" vertical="center"/>
      <protection hidden="1"/>
    </xf>
    <xf numFmtId="0" fontId="11" fillId="21" borderId="8" xfId="2" applyFont="1" applyFill="1" applyBorder="1" applyAlignment="1" applyProtection="1">
      <alignment horizontal="center" vertical="center"/>
      <protection hidden="1"/>
    </xf>
    <xf numFmtId="0" fontId="2" fillId="20" borderId="8" xfId="2" applyFont="1" applyFill="1" applyBorder="1" applyAlignment="1" applyProtection="1">
      <alignment horizontal="center" vertical="center"/>
      <protection locked="0"/>
    </xf>
    <xf numFmtId="0" fontId="11" fillId="21" borderId="10" xfId="2" applyFont="1" applyFill="1" applyBorder="1" applyAlignment="1" applyProtection="1">
      <alignment horizontal="left" vertical="center" indent="1"/>
      <protection hidden="1"/>
    </xf>
    <xf numFmtId="0" fontId="2" fillId="10" borderId="4" xfId="2" applyFill="1" applyBorder="1" applyProtection="1">
      <protection hidden="1"/>
    </xf>
    <xf numFmtId="0" fontId="2" fillId="10" borderId="4" xfId="2" applyFill="1" applyBorder="1" applyAlignment="1" applyProtection="1">
      <alignment horizontal="center"/>
      <protection hidden="1"/>
    </xf>
    <xf numFmtId="0" fontId="11" fillId="6" borderId="4" xfId="2" applyFont="1" applyFill="1" applyBorder="1" applyAlignment="1" applyProtection="1">
      <alignment horizontal="center" wrapText="1"/>
      <protection hidden="1"/>
    </xf>
    <xf numFmtId="0" fontId="11" fillId="6" borderId="4" xfId="2" applyFont="1" applyFill="1" applyBorder="1" applyAlignment="1" applyProtection="1">
      <alignment vertical="center"/>
      <protection hidden="1"/>
    </xf>
    <xf numFmtId="0" fontId="2" fillId="2" borderId="0" xfId="2" applyFill="1" applyBorder="1" applyAlignment="1" applyProtection="1">
      <alignment horizontal="left" wrapText="1"/>
      <protection hidden="1"/>
    </xf>
    <xf numFmtId="0" fontId="22"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0" fillId="11" borderId="0" xfId="0" applyFill="1" applyAlignment="1"/>
    <xf numFmtId="0" fontId="2" fillId="2" borderId="0" xfId="2" applyFill="1" applyBorder="1" applyAlignment="1" applyProtection="1">
      <protection locked="0"/>
    </xf>
    <xf numFmtId="0" fontId="2" fillId="10" borderId="4" xfId="2" applyFont="1" applyFill="1" applyBorder="1" applyAlignment="1" applyProtection="1">
      <alignment horizontal="center" vertical="center"/>
      <protection hidden="1"/>
    </xf>
    <xf numFmtId="0" fontId="19" fillId="2" borderId="0" xfId="0" applyFont="1" applyFill="1"/>
    <xf numFmtId="0" fontId="2" fillId="2" borderId="0" xfId="2" applyFont="1" applyFill="1" applyBorder="1" applyAlignment="1" applyProtection="1">
      <alignment horizontal="left" indent="1"/>
      <protection hidden="1"/>
    </xf>
    <xf numFmtId="0" fontId="113" fillId="2" borderId="0" xfId="2" applyFont="1" applyFill="1" applyProtection="1">
      <protection hidden="1"/>
    </xf>
    <xf numFmtId="0" fontId="2" fillId="2" borderId="0" xfId="2" applyFill="1" applyBorder="1" applyAlignment="1" applyProtection="1">
      <alignment horizontal="left"/>
      <protection hidden="1"/>
    </xf>
    <xf numFmtId="0" fontId="13" fillId="21" borderId="7" xfId="0" applyFont="1" applyFill="1" applyBorder="1" applyAlignment="1" applyProtection="1">
      <alignment horizontal="center" vertical="center" wrapText="1"/>
      <protection hidden="1"/>
    </xf>
    <xf numFmtId="166" fontId="14" fillId="10" borderId="4" xfId="0" applyNumberFormat="1"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hidden="1"/>
    </xf>
    <xf numFmtId="0" fontId="14" fillId="20" borderId="4" xfId="0" applyFont="1" applyFill="1" applyBorder="1" applyAlignment="1" applyProtection="1">
      <alignment horizontal="center" vertical="center" wrapText="1"/>
      <protection locked="0"/>
    </xf>
    <xf numFmtId="0" fontId="14" fillId="20" borderId="10" xfId="0" applyFont="1" applyFill="1" applyBorder="1" applyAlignment="1" applyProtection="1">
      <alignment horizontal="center" vertical="center" wrapText="1"/>
      <protection locked="0"/>
    </xf>
    <xf numFmtId="0" fontId="14" fillId="20" borderId="35" xfId="0" applyFont="1" applyFill="1" applyBorder="1" applyAlignment="1" applyProtection="1">
      <alignment horizontal="center" vertical="center" wrapText="1"/>
      <protection locked="0"/>
    </xf>
    <xf numFmtId="0" fontId="14" fillId="15" borderId="4" xfId="0" applyFont="1" applyFill="1" applyBorder="1" applyAlignment="1">
      <alignment horizontal="left" vertical="center" wrapText="1"/>
    </xf>
    <xf numFmtId="166" fontId="14" fillId="20" borderId="4" xfId="0" applyNumberFormat="1" applyFont="1" applyFill="1" applyBorder="1" applyAlignment="1" applyProtection="1">
      <alignment horizontal="center" vertical="center" wrapText="1"/>
      <protection locked="0"/>
    </xf>
    <xf numFmtId="0" fontId="13" fillId="6" borderId="3" xfId="0" applyFont="1" applyFill="1" applyBorder="1" applyAlignment="1" applyProtection="1">
      <alignment horizontal="center" vertical="center" wrapText="1"/>
      <protection hidden="1"/>
    </xf>
    <xf numFmtId="0" fontId="14" fillId="15" borderId="4" xfId="0" applyFont="1" applyFill="1" applyBorder="1" applyAlignment="1">
      <alignment horizontal="center" vertical="center" wrapText="1"/>
    </xf>
    <xf numFmtId="0" fontId="14" fillId="20" borderId="31"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3" fillId="6" borderId="0" xfId="0" applyFont="1" applyFill="1" applyBorder="1" applyAlignment="1" applyProtection="1">
      <alignment horizontal="center" vertical="center"/>
      <protection hidden="1"/>
    </xf>
    <xf numFmtId="0" fontId="13" fillId="6" borderId="0" xfId="0" applyFont="1" applyFill="1" applyBorder="1" applyAlignment="1" applyProtection="1">
      <alignment horizontal="center" vertical="center" wrapText="1"/>
      <protection hidden="1"/>
    </xf>
    <xf numFmtId="0" fontId="13" fillId="6" borderId="22" xfId="0" applyFont="1" applyFill="1" applyBorder="1" applyAlignment="1" applyProtection="1">
      <alignment horizontal="center" vertical="center"/>
      <protection hidden="1"/>
    </xf>
    <xf numFmtId="0" fontId="2" fillId="11" borderId="0" xfId="2" applyFont="1" applyFill="1" applyAlignment="1">
      <alignment vertical="center" wrapText="1"/>
    </xf>
    <xf numFmtId="0" fontId="2" fillId="26" borderId="0" xfId="0" applyFont="1" applyFill="1" applyBorder="1" applyAlignment="1" applyProtection="1">
      <alignment horizontal="left" vertical="center"/>
      <protection hidden="1"/>
    </xf>
    <xf numFmtId="2" fontId="2" fillId="4" borderId="4" xfId="2" applyNumberFormat="1" applyFont="1" applyFill="1" applyBorder="1" applyAlignment="1" applyProtection="1">
      <alignment horizontal="center" vertical="center" wrapText="1"/>
      <protection hidden="1"/>
    </xf>
    <xf numFmtId="2" fontId="2" fillId="4" borderId="31" xfId="2" applyNumberFormat="1" applyFont="1" applyFill="1" applyBorder="1" applyAlignment="1" applyProtection="1">
      <alignment horizontal="center" vertical="center" wrapText="1"/>
      <protection hidden="1"/>
    </xf>
    <xf numFmtId="2" fontId="22" fillId="9" borderId="4" xfId="2" applyNumberFormat="1" applyFont="1" applyFill="1" applyBorder="1" applyAlignment="1" applyProtection="1">
      <alignment horizontal="center" vertical="center" wrapText="1"/>
      <protection hidden="1"/>
    </xf>
    <xf numFmtId="0" fontId="22" fillId="2" borderId="0" xfId="2" applyFont="1" applyFill="1" applyBorder="1" applyAlignment="1" applyProtection="1">
      <protection hidden="1"/>
    </xf>
    <xf numFmtId="3" fontId="6" fillId="9" borderId="31" xfId="2" applyNumberFormat="1" applyFont="1" applyFill="1" applyBorder="1" applyAlignment="1" applyProtection="1">
      <alignment horizontal="center" vertical="center" wrapText="1"/>
      <protection hidden="1"/>
    </xf>
    <xf numFmtId="0" fontId="13" fillId="3" borderId="10" xfId="0" applyFont="1" applyFill="1" applyBorder="1" applyAlignment="1" applyProtection="1">
      <alignment horizontal="center" vertical="center"/>
      <protection hidden="1"/>
    </xf>
    <xf numFmtId="0" fontId="13" fillId="3" borderId="7" xfId="0" applyFont="1" applyFill="1" applyBorder="1" applyAlignment="1" applyProtection="1">
      <alignment horizontal="center" vertical="center" wrapText="1"/>
      <protection hidden="1"/>
    </xf>
    <xf numFmtId="0" fontId="13" fillId="3" borderId="7" xfId="0" applyFont="1" applyFill="1" applyBorder="1" applyAlignment="1" applyProtection="1">
      <alignment horizontal="center" vertical="center"/>
      <protection hidden="1"/>
    </xf>
    <xf numFmtId="0" fontId="22" fillId="11" borderId="1" xfId="2"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14" fillId="20" borderId="10" xfId="0" applyFont="1" applyFill="1" applyBorder="1" applyAlignment="1" applyProtection="1">
      <alignment horizontal="center" vertical="center" wrapText="1"/>
      <protection locked="0"/>
    </xf>
    <xf numFmtId="0" fontId="14" fillId="20" borderId="32" xfId="0" applyFont="1" applyFill="1" applyBorder="1" applyAlignment="1" applyProtection="1">
      <alignment horizontal="center" vertical="center" wrapText="1"/>
      <protection locked="0"/>
    </xf>
    <xf numFmtId="0" fontId="14" fillId="20" borderId="35" xfId="0" applyFont="1" applyFill="1" applyBorder="1" applyAlignment="1" applyProtection="1">
      <alignment horizontal="center" vertical="center" wrapText="1"/>
      <protection locked="0"/>
    </xf>
    <xf numFmtId="0" fontId="111" fillId="11" borderId="0" xfId="0" applyFont="1" applyFill="1"/>
    <xf numFmtId="0" fontId="0" fillId="11" borderId="0" xfId="0" applyFont="1" applyFill="1" applyProtection="1">
      <protection locked="0"/>
    </xf>
    <xf numFmtId="0" fontId="91" fillId="6" borderId="0" xfId="0" applyFont="1" applyFill="1" applyBorder="1" applyAlignment="1" applyProtection="1">
      <alignment horizontal="left" vertical="center" indent="1"/>
      <protection hidden="1"/>
    </xf>
    <xf numFmtId="0" fontId="90" fillId="6" borderId="0" xfId="0" applyFont="1" applyFill="1" applyBorder="1" applyAlignment="1" applyProtection="1">
      <alignment horizontal="left" vertical="center" indent="1"/>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166" fontId="14" fillId="10" borderId="4" xfId="0" applyNumberFormat="1"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hidden="1"/>
    </xf>
    <xf numFmtId="0" fontId="11" fillId="21" borderId="3" xfId="0"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0" fontId="14" fillId="20" borderId="65" xfId="0" applyFont="1" applyFill="1" applyBorder="1" applyAlignment="1" applyProtection="1">
      <alignment horizontal="center" vertical="center" wrapText="1"/>
      <protection locked="0"/>
    </xf>
    <xf numFmtId="0" fontId="14" fillId="20" borderId="81"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14" fillId="20" borderId="10" xfId="0" applyFont="1" applyFill="1" applyBorder="1" applyAlignment="1" applyProtection="1">
      <alignment horizontal="center" vertical="center" wrapText="1"/>
      <protection locked="0"/>
    </xf>
    <xf numFmtId="0" fontId="13" fillId="13" borderId="79" xfId="0" applyFont="1" applyFill="1" applyBorder="1" applyAlignment="1" applyProtection="1">
      <alignment horizontal="center" vertical="center"/>
      <protection hidden="1"/>
    </xf>
    <xf numFmtId="0" fontId="14" fillId="20" borderId="65" xfId="0" applyFont="1" applyFill="1" applyBorder="1" applyAlignment="1" applyProtection="1">
      <alignment horizontal="center" vertical="center" wrapText="1"/>
      <protection locked="0"/>
    </xf>
    <xf numFmtId="0" fontId="14" fillId="20" borderId="81" xfId="0" applyFont="1" applyFill="1" applyBorder="1" applyAlignment="1" applyProtection="1">
      <alignment horizontal="center" vertical="center" wrapText="1"/>
      <protection locked="0"/>
    </xf>
    <xf numFmtId="166" fontId="14" fillId="10" borderId="65" xfId="0" applyNumberFormat="1" applyFont="1" applyFill="1" applyBorder="1" applyAlignment="1" applyProtection="1">
      <alignment horizontal="center" vertical="center" wrapText="1"/>
      <protection hidden="1"/>
    </xf>
    <xf numFmtId="0" fontId="120" fillId="0" borderId="0" xfId="0" applyFont="1" applyAlignment="1">
      <alignment vertical="center"/>
    </xf>
    <xf numFmtId="0" fontId="2" fillId="10" borderId="32" xfId="0" applyFont="1" applyFill="1" applyBorder="1" applyAlignment="1" applyProtection="1">
      <alignment vertical="center" wrapText="1"/>
      <protection hidden="1"/>
    </xf>
    <xf numFmtId="0" fontId="2" fillId="10" borderId="33" xfId="0" applyFont="1" applyFill="1" applyBorder="1" applyAlignment="1" applyProtection="1">
      <alignment vertical="center" wrapText="1"/>
      <protection hidden="1"/>
    </xf>
    <xf numFmtId="0" fontId="22" fillId="26" borderId="0" xfId="0" applyFont="1" applyFill="1" applyBorder="1" applyAlignment="1" applyProtection="1">
      <alignment horizontal="left" vertical="center"/>
      <protection hidden="1"/>
    </xf>
    <xf numFmtId="0" fontId="6" fillId="26" borderId="0" xfId="2" quotePrefix="1" applyFont="1" applyFill="1" applyProtection="1">
      <protection hidden="1"/>
    </xf>
    <xf numFmtId="0" fontId="22" fillId="26" borderId="0" xfId="2" applyFont="1" applyFill="1" applyProtection="1">
      <protection hidden="1"/>
    </xf>
    <xf numFmtId="0" fontId="14" fillId="20" borderId="31" xfId="0" applyFont="1" applyFill="1" applyBorder="1" applyAlignment="1" applyProtection="1">
      <alignment horizontal="center" vertical="center" wrapText="1"/>
      <protection locked="0"/>
    </xf>
    <xf numFmtId="0" fontId="93" fillId="3" borderId="5" xfId="0" applyFont="1" applyFill="1" applyBorder="1" applyAlignment="1">
      <alignment vertical="center" wrapText="1"/>
    </xf>
    <xf numFmtId="0" fontId="93" fillId="3" borderId="72" xfId="0" applyFont="1" applyFill="1" applyBorder="1" applyAlignment="1">
      <alignment vertical="center" wrapText="1"/>
    </xf>
    <xf numFmtId="0" fontId="93" fillId="3" borderId="21" xfId="0" applyFont="1" applyFill="1" applyBorder="1" applyAlignment="1">
      <alignment vertical="center" wrapText="1"/>
    </xf>
    <xf numFmtId="0" fontId="93" fillId="3" borderId="70" xfId="0" applyFont="1" applyFill="1" applyBorder="1" applyAlignment="1">
      <alignment vertical="center" wrapText="1"/>
    </xf>
    <xf numFmtId="0" fontId="93" fillId="3" borderId="74" xfId="0" applyFont="1" applyFill="1" applyBorder="1" applyAlignment="1">
      <alignment vertical="center" wrapText="1"/>
    </xf>
    <xf numFmtId="0" fontId="93" fillId="5" borderId="72" xfId="0" applyFont="1" applyFill="1" applyBorder="1" applyAlignment="1">
      <alignment vertical="center" wrapText="1"/>
    </xf>
    <xf numFmtId="0" fontId="93" fillId="5" borderId="21" xfId="0" applyFont="1" applyFill="1" applyBorder="1" applyAlignment="1">
      <alignment vertical="center" wrapText="1"/>
    </xf>
    <xf numFmtId="0" fontId="93" fillId="16" borderId="72" xfId="0" applyFont="1" applyFill="1" applyBorder="1" applyAlignment="1">
      <alignment vertical="center" wrapText="1"/>
    </xf>
    <xf numFmtId="0" fontId="93" fillId="16" borderId="98" xfId="0" applyFont="1" applyFill="1" applyBorder="1" applyAlignment="1">
      <alignment vertical="center" wrapText="1"/>
    </xf>
    <xf numFmtId="0" fontId="93" fillId="30" borderId="72" xfId="0" applyFont="1" applyFill="1" applyBorder="1" applyAlignment="1">
      <alignment vertical="center" wrapText="1"/>
    </xf>
    <xf numFmtId="0" fontId="93" fillId="30" borderId="98" xfId="0" applyFont="1" applyFill="1" applyBorder="1" applyAlignment="1">
      <alignment vertical="center" wrapText="1"/>
    </xf>
    <xf numFmtId="0" fontId="93" fillId="6" borderId="72" xfId="0" applyFont="1" applyFill="1" applyBorder="1" applyAlignment="1">
      <alignment vertical="center" wrapText="1"/>
    </xf>
    <xf numFmtId="0" fontId="93" fillId="6" borderId="98" xfId="0" applyFont="1" applyFill="1" applyBorder="1" applyAlignment="1">
      <alignment vertical="center" wrapText="1"/>
    </xf>
    <xf numFmtId="0" fontId="93" fillId="6" borderId="74" xfId="0" applyFont="1" applyFill="1" applyBorder="1" applyAlignment="1">
      <alignment vertical="center" wrapText="1"/>
    </xf>
    <xf numFmtId="0" fontId="93" fillId="8" borderId="98" xfId="0" applyFont="1" applyFill="1" applyBorder="1" applyAlignment="1">
      <alignment vertical="center" wrapText="1"/>
    </xf>
    <xf numFmtId="0" fontId="93" fillId="8" borderId="72" xfId="0" applyFont="1" applyFill="1" applyBorder="1" applyAlignment="1">
      <alignment vertical="center" wrapText="1"/>
    </xf>
    <xf numFmtId="0" fontId="93" fillId="16" borderId="99" xfId="0" applyFont="1" applyFill="1" applyBorder="1" applyAlignment="1">
      <alignment vertical="center" wrapText="1"/>
    </xf>
    <xf numFmtId="0" fontId="93" fillId="7" borderId="72" xfId="0" applyFont="1" applyFill="1" applyBorder="1" applyAlignment="1">
      <alignment vertical="center" wrapText="1"/>
    </xf>
    <xf numFmtId="0" fontId="93" fillId="7" borderId="98" xfId="0" applyFont="1" applyFill="1" applyBorder="1" applyAlignment="1">
      <alignment vertical="center" wrapText="1"/>
    </xf>
    <xf numFmtId="0" fontId="83" fillId="11" borderId="97" xfId="0" applyFont="1" applyFill="1" applyBorder="1"/>
    <xf numFmtId="0" fontId="0" fillId="11" borderId="97" xfId="0" applyFont="1" applyFill="1" applyBorder="1"/>
    <xf numFmtId="3" fontId="2" fillId="20" borderId="4" xfId="0" applyNumberFormat="1" applyFont="1" applyFill="1" applyBorder="1" applyAlignment="1" applyProtection="1">
      <alignment horizontal="center" vertical="center"/>
      <protection locked="0"/>
    </xf>
    <xf numFmtId="3" fontId="14" fillId="20" borderId="4" xfId="0" applyNumberFormat="1" applyFont="1" applyFill="1" applyBorder="1" applyAlignment="1" applyProtection="1">
      <alignment horizontal="center" vertical="center"/>
      <protection locked="0"/>
    </xf>
    <xf numFmtId="0" fontId="83" fillId="31" borderId="12" xfId="0" applyFont="1" applyFill="1" applyBorder="1" applyAlignment="1" applyProtection="1">
      <alignment vertical="center" wrapText="1"/>
      <protection locked="0"/>
    </xf>
    <xf numFmtId="0" fontId="83" fillId="31" borderId="13" xfId="0" applyFont="1" applyFill="1" applyBorder="1" applyAlignment="1" applyProtection="1">
      <alignment vertical="center" wrapText="1"/>
      <protection locked="0"/>
    </xf>
    <xf numFmtId="0" fontId="21" fillId="2" borderId="0" xfId="2" applyFont="1" applyFill="1" applyBorder="1" applyAlignment="1" applyProtection="1">
      <alignment vertical="top"/>
      <protection hidden="1"/>
    </xf>
    <xf numFmtId="0" fontId="66" fillId="11" borderId="0" xfId="0" applyFont="1" applyFill="1"/>
    <xf numFmtId="0" fontId="0" fillId="10" borderId="0" xfId="0" applyFont="1" applyFill="1" applyProtection="1">
      <protection hidden="1"/>
    </xf>
    <xf numFmtId="0" fontId="82" fillId="10" borderId="0" xfId="0" applyFont="1" applyFill="1" applyProtection="1">
      <protection hidden="1"/>
    </xf>
    <xf numFmtId="0" fontId="123" fillId="10" borderId="0" xfId="0" applyFont="1" applyFill="1" applyProtection="1">
      <protection hidden="1"/>
    </xf>
    <xf numFmtId="0" fontId="2" fillId="11" borderId="0" xfId="0" applyFont="1" applyFill="1" applyBorder="1" applyAlignment="1">
      <alignment horizontal="right"/>
    </xf>
    <xf numFmtId="0" fontId="124" fillId="11" borderId="0" xfId="0" applyFont="1" applyFill="1" applyAlignment="1" applyProtection="1">
      <protection hidden="1"/>
    </xf>
    <xf numFmtId="0" fontId="44" fillId="19" borderId="0" xfId="0" applyFont="1" applyFill="1" applyAlignment="1" applyProtection="1">
      <alignment vertical="center" wrapText="1"/>
      <protection hidden="1"/>
    </xf>
    <xf numFmtId="0" fontId="80" fillId="6" borderId="0" xfId="0" applyFont="1" applyFill="1" applyAlignment="1" applyProtection="1">
      <alignment horizontal="left"/>
      <protection hidden="1"/>
    </xf>
    <xf numFmtId="0" fontId="90" fillId="6" borderId="0" xfId="0" applyFont="1" applyFill="1" applyBorder="1" applyAlignment="1" applyProtection="1">
      <alignment horizontal="left" vertical="center" indent="1"/>
      <protection hidden="1"/>
    </xf>
    <xf numFmtId="0" fontId="22" fillId="2" borderId="0" xfId="0" applyFont="1" applyFill="1" applyBorder="1" applyAlignment="1" applyProtection="1">
      <alignment horizontal="left" vertical="center" wrapText="1"/>
      <protection hidden="1"/>
    </xf>
    <xf numFmtId="0" fontId="13" fillId="21" borderId="7" xfId="0" applyFont="1" applyFill="1" applyBorder="1" applyAlignment="1" applyProtection="1">
      <alignment horizontal="center" vertical="center"/>
      <protection hidden="1"/>
    </xf>
    <xf numFmtId="0" fontId="13" fillId="21" borderId="8" xfId="0" applyFont="1" applyFill="1" applyBorder="1" applyAlignment="1" applyProtection="1">
      <alignment horizontal="center" vertical="center"/>
      <protection hidden="1"/>
    </xf>
    <xf numFmtId="0" fontId="13" fillId="21" borderId="10" xfId="0" applyFont="1" applyFill="1" applyBorder="1" applyAlignment="1" applyProtection="1">
      <alignment horizontal="center" vertical="center"/>
      <protection hidden="1"/>
    </xf>
    <xf numFmtId="0" fontId="19" fillId="10" borderId="0" xfId="0" applyFont="1" applyFill="1"/>
    <xf numFmtId="0" fontId="20" fillId="5" borderId="29" xfId="2" applyFont="1" applyFill="1" applyBorder="1" applyAlignment="1" applyProtection="1">
      <alignment horizontal="center" vertical="center" wrapText="1"/>
      <protection hidden="1"/>
    </xf>
    <xf numFmtId="0" fontId="0" fillId="6" borderId="0" xfId="0" applyFill="1" applyProtection="1">
      <protection hidden="1"/>
    </xf>
    <xf numFmtId="0" fontId="83" fillId="6" borderId="0" xfId="2" applyFont="1" applyFill="1"/>
    <xf numFmtId="0" fontId="83" fillId="6" borderId="0" xfId="2" applyFont="1" applyFill="1" applyAlignment="1">
      <alignment horizontal="left" indent="1"/>
    </xf>
    <xf numFmtId="0" fontId="80" fillId="6" borderId="0" xfId="0" applyFont="1" applyFill="1" applyAlignment="1" applyProtection="1">
      <protection hidden="1"/>
    </xf>
    <xf numFmtId="0" fontId="132" fillId="6" borderId="0" xfId="0" applyFont="1" applyFill="1" applyAlignment="1" applyProtection="1">
      <protection hidden="1"/>
    </xf>
    <xf numFmtId="0" fontId="14" fillId="20" borderId="4" xfId="0" applyFont="1" applyFill="1" applyBorder="1" applyAlignment="1" applyProtection="1">
      <alignment horizontal="center" vertical="center" wrapText="1"/>
      <protection locked="0"/>
    </xf>
    <xf numFmtId="0" fontId="2" fillId="2" borderId="0" xfId="2" applyFill="1" applyBorder="1" applyAlignment="1" applyProtection="1">
      <alignment horizontal="left" indent="5"/>
      <protection hidden="1"/>
    </xf>
    <xf numFmtId="0" fontId="2" fillId="10" borderId="0" xfId="2" applyFill="1" applyBorder="1" applyProtection="1">
      <protection hidden="1"/>
    </xf>
    <xf numFmtId="0" fontId="21" fillId="2" borderId="0" xfId="0" applyFont="1" applyFill="1" applyBorder="1" applyAlignment="1" applyProtection="1">
      <alignment horizontal="left" vertical="center" wrapText="1"/>
      <protection hidden="1"/>
    </xf>
    <xf numFmtId="0" fontId="2" fillId="10" borderId="60" xfId="2" applyFill="1" applyBorder="1" applyAlignment="1" applyProtection="1">
      <alignment horizontal="left" indent="7"/>
      <protection hidden="1"/>
    </xf>
    <xf numFmtId="0" fontId="2" fillId="10" borderId="61" xfId="2" applyFill="1" applyBorder="1" applyProtection="1">
      <protection hidden="1"/>
    </xf>
    <xf numFmtId="0" fontId="2" fillId="10" borderId="62" xfId="2" applyFill="1" applyBorder="1" applyProtection="1">
      <protection hidden="1"/>
    </xf>
    <xf numFmtId="0" fontId="2" fillId="10" borderId="63" xfId="2" applyFill="1" applyBorder="1" applyAlignment="1" applyProtection="1">
      <alignment horizontal="left" indent="8"/>
      <protection hidden="1"/>
    </xf>
    <xf numFmtId="0" fontId="2" fillId="10" borderId="64" xfId="2" applyFill="1" applyBorder="1" applyProtection="1">
      <protection hidden="1"/>
    </xf>
    <xf numFmtId="0" fontId="2" fillId="10" borderId="25" xfId="2" applyFill="1" applyBorder="1" applyAlignment="1" applyProtection="1">
      <alignment horizontal="left" indent="8"/>
      <protection hidden="1"/>
    </xf>
    <xf numFmtId="0" fontId="2" fillId="10" borderId="26" xfId="2" applyFill="1" applyBorder="1" applyProtection="1">
      <protection hidden="1"/>
    </xf>
    <xf numFmtId="0" fontId="2" fillId="10" borderId="27" xfId="2" applyFill="1" applyBorder="1" applyProtection="1">
      <protection hidden="1"/>
    </xf>
    <xf numFmtId="0" fontId="22" fillId="25" borderId="0" xfId="2" applyFont="1" applyFill="1" applyBorder="1" applyAlignment="1" applyProtection="1">
      <alignment horizontal="left" indent="5"/>
      <protection hidden="1"/>
    </xf>
    <xf numFmtId="0" fontId="21" fillId="25" borderId="0" xfId="2" applyFont="1" applyFill="1" applyBorder="1" applyAlignment="1" applyProtection="1">
      <alignment horizontal="left" indent="5"/>
      <protection hidden="1"/>
    </xf>
    <xf numFmtId="0" fontId="21" fillId="2" borderId="0" xfId="2" applyFont="1" applyFill="1" applyBorder="1" applyAlignment="1" applyProtection="1">
      <alignment horizontal="left" indent="5"/>
      <protection hidden="1"/>
    </xf>
    <xf numFmtId="0" fontId="20" fillId="16" borderId="29" xfId="2"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indent="5"/>
      <protection hidden="1"/>
    </xf>
    <xf numFmtId="0" fontId="20" fillId="16" borderId="7" xfId="2" applyFont="1" applyFill="1" applyBorder="1" applyAlignment="1" applyProtection="1">
      <alignment horizontal="center" vertical="center" wrapText="1"/>
      <protection hidden="1"/>
    </xf>
    <xf numFmtId="0" fontId="20" fillId="6" borderId="29" xfId="2" applyFont="1" applyFill="1" applyBorder="1" applyAlignment="1" applyProtection="1">
      <alignment horizontal="center" vertical="center" wrapText="1"/>
      <protection hidden="1"/>
    </xf>
    <xf numFmtId="0" fontId="2" fillId="10" borderId="63" xfId="2" applyFill="1" applyBorder="1" applyProtection="1">
      <protection hidden="1"/>
    </xf>
    <xf numFmtId="0" fontId="2" fillId="10" borderId="60" xfId="2" applyFill="1" applyBorder="1" applyAlignment="1" applyProtection="1">
      <alignment horizontal="left" indent="6"/>
      <protection hidden="1"/>
    </xf>
    <xf numFmtId="0" fontId="2" fillId="10" borderId="63" xfId="2" applyFill="1" applyBorder="1" applyAlignment="1" applyProtection="1">
      <alignment horizontal="left" wrapText="1" indent="8"/>
      <protection hidden="1"/>
    </xf>
    <xf numFmtId="0" fontId="2" fillId="10" borderId="0" xfId="2" applyFill="1" applyBorder="1" applyAlignment="1" applyProtection="1">
      <alignment horizontal="left" wrapText="1" indent="8"/>
      <protection hidden="1"/>
    </xf>
    <xf numFmtId="0" fontId="2" fillId="10" borderId="64" xfId="2" applyFill="1" applyBorder="1" applyAlignment="1" applyProtection="1">
      <alignment horizontal="left" wrapText="1" indent="8"/>
      <protection hidden="1"/>
    </xf>
    <xf numFmtId="0" fontId="21" fillId="2" borderId="0" xfId="2" applyFont="1" applyFill="1" applyBorder="1" applyAlignment="1" applyProtection="1">
      <alignment horizontal="left" indent="6"/>
      <protection hidden="1"/>
    </xf>
    <xf numFmtId="0" fontId="21" fillId="2" borderId="0" xfId="2" applyFont="1" applyFill="1" applyBorder="1" applyAlignment="1" applyProtection="1">
      <alignment horizontal="left" indent="8"/>
      <protection locked="0"/>
    </xf>
    <xf numFmtId="0" fontId="21" fillId="26" borderId="0" xfId="2" applyFont="1" applyFill="1" applyBorder="1" applyAlignment="1" applyProtection="1">
      <alignment horizontal="left" indent="5"/>
      <protection hidden="1"/>
    </xf>
    <xf numFmtId="0" fontId="2" fillId="2" borderId="0" xfId="2" applyFill="1" applyBorder="1" applyAlignment="1">
      <alignment horizontal="left" indent="5"/>
    </xf>
    <xf numFmtId="0" fontId="22" fillId="2" borderId="0" xfId="2" applyFont="1" applyFill="1" applyBorder="1" applyAlignment="1">
      <alignment horizontal="left" indent="5"/>
    </xf>
    <xf numFmtId="0" fontId="2" fillId="10" borderId="61" xfId="2" applyFill="1" applyBorder="1"/>
    <xf numFmtId="0" fontId="2" fillId="10" borderId="62" xfId="2" applyFill="1" applyBorder="1"/>
    <xf numFmtId="0" fontId="2" fillId="10" borderId="0" xfId="2" applyFill="1" applyBorder="1"/>
    <xf numFmtId="0" fontId="2" fillId="10" borderId="64" xfId="2" applyFill="1" applyBorder="1"/>
    <xf numFmtId="0" fontId="2" fillId="10" borderId="26" xfId="2" applyFill="1" applyBorder="1"/>
    <xf numFmtId="0" fontId="2" fillId="10" borderId="27" xfId="2" applyFill="1" applyBorder="1"/>
    <xf numFmtId="0" fontId="2" fillId="10" borderId="60" xfId="2" applyFill="1" applyBorder="1" applyAlignment="1">
      <alignment horizontal="left" indent="6"/>
    </xf>
    <xf numFmtId="0" fontId="2" fillId="10" borderId="63" xfId="2" applyFill="1" applyBorder="1" applyAlignment="1">
      <alignment horizontal="left" indent="8"/>
    </xf>
    <xf numFmtId="0" fontId="2" fillId="10" borderId="25" xfId="2" applyFill="1" applyBorder="1" applyAlignment="1">
      <alignment horizontal="left" indent="8"/>
    </xf>
    <xf numFmtId="0" fontId="2" fillId="2" borderId="0" xfId="2" applyFill="1" applyBorder="1" applyAlignment="1">
      <alignment horizontal="left" indent="6"/>
    </xf>
    <xf numFmtId="0" fontId="21" fillId="2" borderId="0" xfId="2" applyFont="1" applyFill="1" applyBorder="1" applyAlignment="1" applyProtection="1">
      <alignment horizontal="left" vertical="center" indent="6"/>
      <protection hidden="1"/>
    </xf>
    <xf numFmtId="0" fontId="22" fillId="2" borderId="0" xfId="2" applyFont="1" applyFill="1" applyBorder="1" applyAlignment="1" applyProtection="1">
      <alignment horizontal="left" wrapText="1"/>
      <protection hidden="1"/>
    </xf>
    <xf numFmtId="0" fontId="22" fillId="2" borderId="0" xfId="0" applyFont="1" applyFill="1" applyBorder="1" applyAlignment="1" applyProtection="1">
      <alignment horizontal="left" vertical="center" wrapText="1"/>
      <protection hidden="1"/>
    </xf>
    <xf numFmtId="0" fontId="22" fillId="25" borderId="0" xfId="0" applyFont="1" applyFill="1" applyBorder="1" applyAlignment="1" applyProtection="1">
      <alignment horizontal="left" vertical="center" wrapText="1"/>
      <protection hidden="1"/>
    </xf>
    <xf numFmtId="0" fontId="2" fillId="2" borderId="0" xfId="2" applyFill="1" applyBorder="1" applyAlignment="1" applyProtection="1">
      <alignment horizontal="left" vertical="center" wrapText="1"/>
      <protection hidden="1"/>
    </xf>
    <xf numFmtId="0" fontId="131" fillId="6" borderId="0" xfId="0" applyFont="1" applyFill="1" applyBorder="1" applyAlignment="1" applyProtection="1">
      <alignment vertical="center"/>
      <protection hidden="1"/>
    </xf>
    <xf numFmtId="0" fontId="0" fillId="2" borderId="0" xfId="0" applyFill="1" applyProtection="1">
      <protection hidden="1"/>
    </xf>
    <xf numFmtId="0" fontId="0" fillId="2" borderId="22" xfId="0" applyFill="1" applyBorder="1" applyProtection="1">
      <protection hidden="1"/>
    </xf>
    <xf numFmtId="0" fontId="0" fillId="2" borderId="0" xfId="0" applyFill="1" applyAlignment="1" applyProtection="1">
      <alignment horizontal="left" vertical="top" wrapText="1"/>
      <protection hidden="1"/>
    </xf>
    <xf numFmtId="0" fontId="0" fillId="2" borderId="0" xfId="0" applyFill="1" applyAlignment="1" applyProtection="1">
      <alignment vertical="top" wrapText="1"/>
      <protection hidden="1"/>
    </xf>
    <xf numFmtId="0" fontId="46" fillId="2" borderId="0" xfId="0" applyFont="1" applyFill="1" applyAlignment="1" applyProtection="1">
      <alignment horizontal="left" vertical="top" wrapText="1"/>
      <protection hidden="1"/>
    </xf>
    <xf numFmtId="0" fontId="0" fillId="2" borderId="0" xfId="0" applyFill="1" applyAlignment="1" applyProtection="1">
      <alignment horizontal="left" vertical="top"/>
      <protection hidden="1"/>
    </xf>
    <xf numFmtId="0" fontId="0" fillId="2" borderId="0" xfId="0"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0" xfId="0" applyFont="1" applyFill="1" applyAlignment="1" applyProtection="1">
      <alignment vertical="top" wrapText="1"/>
      <protection hidden="1"/>
    </xf>
    <xf numFmtId="0" fontId="81" fillId="2" borderId="0" xfId="0" applyFont="1" applyFill="1" applyProtection="1">
      <protection hidden="1"/>
    </xf>
    <xf numFmtId="0" fontId="0" fillId="2" borderId="0" xfId="0" applyFont="1" applyFill="1" applyProtection="1">
      <protection hidden="1"/>
    </xf>
    <xf numFmtId="0" fontId="0" fillId="2" borderId="0" xfId="0" applyFont="1" applyFill="1" applyAlignment="1" applyProtection="1">
      <alignment horizontal="left" indent="1"/>
      <protection hidden="1"/>
    </xf>
    <xf numFmtId="0" fontId="22" fillId="25" borderId="0" xfId="2" applyFont="1" applyFill="1" applyAlignment="1" applyProtection="1">
      <alignment horizontal="left" indent="5"/>
      <protection hidden="1"/>
    </xf>
    <xf numFmtId="0" fontId="2" fillId="25" borderId="0" xfId="2" applyFill="1" applyBorder="1" applyAlignment="1">
      <alignment horizontal="left" indent="5"/>
    </xf>
    <xf numFmtId="0" fontId="21" fillId="25" borderId="0" xfId="2" applyFont="1" applyFill="1" applyBorder="1" applyAlignment="1">
      <alignment horizontal="left" indent="5"/>
    </xf>
    <xf numFmtId="0" fontId="22" fillId="26" borderId="0" xfId="2" applyFont="1" applyFill="1" applyAlignment="1" applyProtection="1">
      <alignment horizontal="left" indent="5"/>
      <protection hidden="1"/>
    </xf>
    <xf numFmtId="0" fontId="21" fillId="26" borderId="0" xfId="0" applyFont="1" applyFill="1" applyBorder="1" applyAlignment="1" applyProtection="1">
      <alignment horizontal="left" vertical="center" wrapText="1" indent="5"/>
      <protection hidden="1"/>
    </xf>
    <xf numFmtId="0" fontId="2" fillId="10" borderId="61" xfId="2" applyFill="1" applyBorder="1" applyAlignment="1" applyProtection="1">
      <alignment horizontal="left" indent="6"/>
      <protection hidden="1"/>
    </xf>
    <xf numFmtId="0" fontId="2" fillId="10" borderId="62" xfId="2" applyFill="1" applyBorder="1" applyAlignment="1" applyProtection="1">
      <alignment horizontal="left" indent="6"/>
      <protection hidden="1"/>
    </xf>
    <xf numFmtId="0" fontId="2" fillId="26" borderId="0" xfId="0" applyFont="1" applyFill="1" applyBorder="1" applyAlignment="1" applyProtection="1">
      <alignment horizontal="left" vertical="center" indent="5"/>
      <protection hidden="1"/>
    </xf>
    <xf numFmtId="0" fontId="2" fillId="26" borderId="0" xfId="2" applyFill="1" applyBorder="1" applyAlignment="1" applyProtection="1">
      <alignment horizontal="left" indent="5"/>
      <protection hidden="1"/>
    </xf>
    <xf numFmtId="0" fontId="2" fillId="10" borderId="0" xfId="2" applyFont="1" applyFill="1" applyBorder="1" applyProtection="1">
      <protection hidden="1"/>
    </xf>
    <xf numFmtId="0" fontId="2" fillId="10" borderId="64" xfId="2" applyFont="1" applyFill="1" applyBorder="1" applyProtection="1">
      <protection hidden="1"/>
    </xf>
    <xf numFmtId="0" fontId="22" fillId="26" borderId="0" xfId="2" applyFont="1" applyFill="1" applyBorder="1" applyAlignment="1" applyProtection="1">
      <alignment horizontal="left" indent="5"/>
      <protection hidden="1"/>
    </xf>
    <xf numFmtId="0" fontId="22" fillId="10" borderId="1" xfId="2" applyFont="1" applyFill="1" applyBorder="1" applyAlignment="1" applyProtection="1">
      <alignment horizontal="center" vertical="center"/>
      <protection hidden="1"/>
    </xf>
    <xf numFmtId="0" fontId="21" fillId="2" borderId="0" xfId="2" applyFont="1" applyFill="1" applyBorder="1" applyAlignment="1" applyProtection="1">
      <alignment horizontal="left" vertical="top" indent="5"/>
      <protection hidden="1"/>
    </xf>
    <xf numFmtId="0" fontId="6" fillId="25" borderId="0" xfId="2" quotePrefix="1" applyFont="1" applyFill="1" applyAlignment="1" applyProtection="1">
      <alignment horizontal="left" vertical="center" indent="1"/>
      <protection hidden="1"/>
    </xf>
    <xf numFmtId="0" fontId="6" fillId="26" borderId="0" xfId="2" quotePrefix="1" applyFont="1" applyFill="1" applyAlignment="1" applyProtection="1">
      <alignment horizontal="left" vertical="center" indent="1"/>
      <protection hidden="1"/>
    </xf>
    <xf numFmtId="0" fontId="21" fillId="26" borderId="0" xfId="0" applyFont="1" applyFill="1" applyBorder="1" applyAlignment="1" applyProtection="1">
      <alignment horizontal="left" vertical="center" indent="5"/>
      <protection hidden="1"/>
    </xf>
    <xf numFmtId="0" fontId="21" fillId="25" borderId="0" xfId="0" applyFont="1" applyFill="1" applyBorder="1" applyAlignment="1" applyProtection="1">
      <alignment horizontal="left" vertical="center" indent="5"/>
      <protection hidden="1"/>
    </xf>
    <xf numFmtId="0" fontId="2" fillId="2" borderId="0" xfId="2" applyFill="1" applyBorder="1" applyAlignment="1" applyProtection="1">
      <alignment horizontal="left" indent="7"/>
      <protection hidden="1"/>
    </xf>
    <xf numFmtId="0" fontId="2" fillId="10" borderId="60" xfId="2" applyFill="1" applyBorder="1" applyAlignment="1" applyProtection="1">
      <alignment horizontal="left" indent="5"/>
      <protection hidden="1"/>
    </xf>
    <xf numFmtId="0" fontId="2" fillId="10" borderId="63" xfId="2" applyFill="1" applyBorder="1" applyAlignment="1" applyProtection="1">
      <alignment horizontal="left" indent="7"/>
      <protection hidden="1"/>
    </xf>
    <xf numFmtId="0" fontId="2" fillId="10" borderId="25" xfId="2" applyFill="1" applyBorder="1" applyAlignment="1" applyProtection="1">
      <alignment horizontal="left" indent="7"/>
      <protection hidden="1"/>
    </xf>
    <xf numFmtId="0" fontId="21" fillId="10" borderId="26" xfId="2" applyFont="1" applyFill="1" applyBorder="1" applyAlignment="1" applyProtection="1">
      <alignment vertical="center"/>
      <protection hidden="1"/>
    </xf>
    <xf numFmtId="0" fontId="2" fillId="10" borderId="63" xfId="2" applyFont="1" applyFill="1" applyBorder="1" applyAlignment="1" applyProtection="1">
      <alignment horizontal="left" indent="7"/>
      <protection hidden="1"/>
    </xf>
    <xf numFmtId="0" fontId="2" fillId="10" borderId="25" xfId="2" applyFont="1" applyFill="1" applyBorder="1" applyAlignment="1" applyProtection="1">
      <alignment horizontal="left" indent="7"/>
      <protection hidden="1"/>
    </xf>
    <xf numFmtId="0" fontId="20" fillId="3" borderId="29" xfId="2"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vertical="center" indent="5"/>
      <protection hidden="1"/>
    </xf>
    <xf numFmtId="0" fontId="21" fillId="2" borderId="0" xfId="2" applyFont="1" applyFill="1" applyBorder="1" applyAlignment="1" applyProtection="1">
      <alignment horizontal="left" vertical="center" indent="5"/>
      <protection hidden="1"/>
    </xf>
    <xf numFmtId="0" fontId="22" fillId="2" borderId="0" xfId="2" applyFont="1" applyFill="1" applyAlignment="1" applyProtection="1">
      <alignment horizontal="left" indent="5"/>
      <protection hidden="1"/>
    </xf>
    <xf numFmtId="0" fontId="22" fillId="2" borderId="0" xfId="2" applyFont="1" applyFill="1" applyAlignment="1" applyProtection="1">
      <alignment horizontal="left" indent="6"/>
      <protection hidden="1"/>
    </xf>
    <xf numFmtId="0" fontId="2" fillId="2" borderId="0" xfId="2" applyFill="1" applyAlignment="1" applyProtection="1">
      <alignment horizontal="left" indent="5"/>
      <protection hidden="1"/>
    </xf>
    <xf numFmtId="0" fontId="22" fillId="2" borderId="0" xfId="2" applyFont="1" applyFill="1" applyBorder="1" applyAlignment="1" applyProtection="1">
      <alignment horizontal="left" wrapText="1"/>
      <protection hidden="1"/>
    </xf>
    <xf numFmtId="0" fontId="22" fillId="2" borderId="0" xfId="0" applyFont="1" applyFill="1" applyBorder="1" applyAlignment="1" applyProtection="1">
      <alignment horizontal="left" vertical="center" wrapText="1"/>
      <protection hidden="1"/>
    </xf>
    <xf numFmtId="0" fontId="14" fillId="20" borderId="4" xfId="0" applyFont="1" applyFill="1" applyBorder="1" applyAlignment="1" applyProtection="1">
      <alignment horizontal="center" vertical="center" wrapText="1"/>
      <protection locked="0"/>
    </xf>
    <xf numFmtId="0" fontId="21" fillId="2" borderId="0" xfId="0" applyFont="1" applyFill="1" applyBorder="1" applyAlignment="1" applyProtection="1">
      <alignment horizontal="left" vertical="center" wrapText="1" indent="5"/>
      <protection hidden="1"/>
    </xf>
    <xf numFmtId="0" fontId="13" fillId="17" borderId="8" xfId="4" applyFont="1" applyFill="1" applyBorder="1" applyAlignment="1" applyProtection="1">
      <alignment horizontal="center" vertical="center" wrapText="1"/>
      <protection hidden="1"/>
    </xf>
    <xf numFmtId="0" fontId="2" fillId="20" borderId="31" xfId="4" applyNumberFormat="1" applyFont="1" applyFill="1" applyBorder="1" applyAlignment="1" applyProtection="1">
      <alignment horizontal="center" vertical="center"/>
      <protection locked="0"/>
    </xf>
    <xf numFmtId="0" fontId="2" fillId="4" borderId="31" xfId="4" applyNumberFormat="1" applyFont="1" applyFill="1" applyBorder="1" applyAlignment="1" applyProtection="1">
      <alignment horizontal="center" vertical="center"/>
      <protection hidden="1"/>
    </xf>
    <xf numFmtId="0" fontId="2" fillId="20" borderId="31" xfId="4" applyNumberFormat="1" applyFont="1" applyFill="1" applyBorder="1" applyAlignment="1" applyProtection="1">
      <alignment horizontal="center"/>
      <protection locked="0"/>
    </xf>
    <xf numFmtId="0" fontId="14" fillId="20" borderId="10" xfId="0" applyFont="1" applyFill="1" applyBorder="1" applyAlignment="1" applyProtection="1">
      <alignment horizontal="center" vertical="center" wrapText="1"/>
      <protection locked="0"/>
    </xf>
    <xf numFmtId="0" fontId="13" fillId="17" borderId="7" xfId="4" applyFont="1" applyFill="1" applyBorder="1" applyAlignment="1" applyProtection="1">
      <alignment horizontal="center" vertical="center" wrapText="1"/>
      <protection hidden="1"/>
    </xf>
    <xf numFmtId="0" fontId="20" fillId="16" borderId="8" xfId="2" applyFont="1" applyFill="1" applyBorder="1" applyAlignment="1" applyProtection="1">
      <alignment horizontal="center" vertical="center" wrapText="1"/>
      <protection hidden="1"/>
    </xf>
    <xf numFmtId="0" fontId="14" fillId="20" borderId="81"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6" fillId="9" borderId="4" xfId="2" applyFont="1" applyFill="1" applyBorder="1" applyAlignment="1" applyProtection="1">
      <alignment horizontal="center" vertical="center" wrapText="1"/>
      <protection hidden="1"/>
    </xf>
    <xf numFmtId="0" fontId="14" fillId="20" borderId="35" xfId="0" applyFont="1" applyFill="1" applyBorder="1" applyAlignment="1" applyProtection="1">
      <alignment horizontal="center" vertical="center" wrapText="1"/>
      <protection locked="0"/>
    </xf>
    <xf numFmtId="0" fontId="22" fillId="2" borderId="35" xfId="0" applyFont="1" applyFill="1" applyBorder="1" applyAlignment="1" applyProtection="1">
      <alignment horizontal="left" vertical="center" wrapText="1"/>
      <protection hidden="1"/>
    </xf>
    <xf numFmtId="0" fontId="22" fillId="2" borderId="3" xfId="0" applyFont="1" applyFill="1" applyBorder="1" applyAlignment="1" applyProtection="1">
      <alignment horizontal="left" vertical="center" wrapText="1"/>
      <protection hidden="1"/>
    </xf>
    <xf numFmtId="0" fontId="22" fillId="2" borderId="38" xfId="0" applyFont="1" applyFill="1" applyBorder="1" applyAlignment="1" applyProtection="1">
      <alignment horizontal="left" vertical="center" wrapText="1"/>
      <protection hidden="1"/>
    </xf>
    <xf numFmtId="0" fontId="87" fillId="15" borderId="4" xfId="0" applyFont="1" applyFill="1" applyBorder="1" applyAlignment="1">
      <alignment horizontal="center" vertical="center" wrapText="1"/>
    </xf>
    <xf numFmtId="0" fontId="114" fillId="2" borderId="0" xfId="2" applyFont="1" applyFill="1" applyAlignment="1" applyProtection="1">
      <alignment horizontal="left" indent="5"/>
      <protection hidden="1"/>
    </xf>
    <xf numFmtId="0" fontId="2" fillId="2" borderId="0" xfId="2" applyFont="1" applyFill="1" applyBorder="1" applyAlignment="1" applyProtection="1">
      <alignment horizontal="left" indent="5"/>
      <protection hidden="1"/>
    </xf>
    <xf numFmtId="0" fontId="2" fillId="10" borderId="0" xfId="2" applyFill="1" applyBorder="1" applyAlignment="1" applyProtection="1">
      <alignment horizontal="left" indent="2"/>
      <protection hidden="1"/>
    </xf>
    <xf numFmtId="0" fontId="2" fillId="10" borderId="61" xfId="2" applyFill="1" applyBorder="1" applyAlignment="1" applyProtection="1">
      <alignment horizontal="left" indent="2"/>
      <protection hidden="1"/>
    </xf>
    <xf numFmtId="0" fontId="2" fillId="10" borderId="62" xfId="2" applyFill="1" applyBorder="1" applyAlignment="1" applyProtection="1">
      <alignment horizontal="left" indent="2"/>
      <protection hidden="1"/>
    </xf>
    <xf numFmtId="0" fontId="2" fillId="10" borderId="64" xfId="2" applyFill="1" applyBorder="1" applyAlignment="1" applyProtection="1">
      <alignment horizontal="left" indent="2"/>
      <protection hidden="1"/>
    </xf>
    <xf numFmtId="0" fontId="2" fillId="10" borderId="26" xfId="2" applyFill="1" applyBorder="1" applyAlignment="1" applyProtection="1">
      <alignment horizontal="left" indent="2"/>
      <protection hidden="1"/>
    </xf>
    <xf numFmtId="0" fontId="2" fillId="10" borderId="27" xfId="2" applyFill="1" applyBorder="1" applyAlignment="1" applyProtection="1">
      <alignment horizontal="left" indent="2"/>
      <protection hidden="1"/>
    </xf>
    <xf numFmtId="0" fontId="2" fillId="10" borderId="25" xfId="2" applyFont="1" applyFill="1" applyBorder="1" applyAlignment="1" applyProtection="1">
      <alignment horizontal="left" indent="6"/>
      <protection hidden="1"/>
    </xf>
    <xf numFmtId="0" fontId="21" fillId="2" borderId="0" xfId="2" applyFont="1" applyFill="1" applyAlignment="1" applyProtection="1">
      <alignment horizontal="left" indent="5"/>
      <protection hidden="1"/>
    </xf>
    <xf numFmtId="0" fontId="2" fillId="2" borderId="0" xfId="2" applyFont="1" applyFill="1" applyAlignment="1" applyProtection="1">
      <alignment horizontal="left" indent="5"/>
      <protection hidden="1"/>
    </xf>
    <xf numFmtId="0" fontId="14" fillId="20" borderId="4" xfId="0" applyFont="1" applyFill="1" applyBorder="1" applyAlignment="1" applyProtection="1">
      <alignment horizontal="center" vertical="center" wrapText="1"/>
      <protection locked="0"/>
    </xf>
    <xf numFmtId="0" fontId="2" fillId="10" borderId="63" xfId="2" applyFill="1" applyBorder="1" applyAlignment="1">
      <alignment horizontal="left" indent="7"/>
    </xf>
    <xf numFmtId="0" fontId="14" fillId="20" borderId="10"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14" fillId="20" borderId="35" xfId="0" applyFont="1" applyFill="1" applyBorder="1" applyAlignment="1" applyProtection="1">
      <alignment horizontal="center" vertical="center" wrapText="1"/>
      <protection locked="0"/>
    </xf>
    <xf numFmtId="0" fontId="2" fillId="10" borderId="0" xfId="2" applyFill="1" applyBorder="1" applyAlignment="1" applyProtection="1">
      <alignment horizontal="left" indent="1"/>
      <protection hidden="1"/>
    </xf>
    <xf numFmtId="0" fontId="2" fillId="10" borderId="61" xfId="2" applyFill="1" applyBorder="1" applyAlignment="1" applyProtection="1">
      <alignment horizontal="left" indent="1"/>
      <protection hidden="1"/>
    </xf>
    <xf numFmtId="0" fontId="2" fillId="10" borderId="62" xfId="2" applyFill="1" applyBorder="1" applyAlignment="1" applyProtection="1">
      <alignment horizontal="left" indent="1"/>
      <protection hidden="1"/>
    </xf>
    <xf numFmtId="0" fontId="2" fillId="10" borderId="64" xfId="2" applyFill="1" applyBorder="1" applyAlignment="1" applyProtection="1">
      <alignment horizontal="left" indent="1"/>
      <protection hidden="1"/>
    </xf>
    <xf numFmtId="0" fontId="2" fillId="10" borderId="26" xfId="2" applyFill="1" applyBorder="1" applyAlignment="1" applyProtection="1">
      <alignment horizontal="left" indent="1"/>
      <protection hidden="1"/>
    </xf>
    <xf numFmtId="0" fontId="2" fillId="10" borderId="27" xfId="2" applyFill="1" applyBorder="1" applyAlignment="1" applyProtection="1">
      <alignment horizontal="left" indent="1"/>
      <protection hidden="1"/>
    </xf>
    <xf numFmtId="0" fontId="2" fillId="10" borderId="60" xfId="2" applyFill="1" applyBorder="1" applyAlignment="1" applyProtection="1">
      <alignment horizontal="left" indent="8"/>
      <protection hidden="1"/>
    </xf>
    <xf numFmtId="0" fontId="21" fillId="2" borderId="0" xfId="0" applyFont="1" applyFill="1" applyBorder="1" applyAlignment="1" applyProtection="1">
      <alignment vertical="center"/>
      <protection hidden="1"/>
    </xf>
    <xf numFmtId="0" fontId="21" fillId="2" borderId="0" xfId="0" applyFont="1" applyFill="1" applyBorder="1" applyAlignment="1" applyProtection="1">
      <alignment horizontal="left" vertical="center" indent="5"/>
      <protection hidden="1"/>
    </xf>
    <xf numFmtId="0" fontId="14" fillId="20" borderId="101" xfId="0" applyFont="1" applyFill="1" applyBorder="1" applyAlignment="1" applyProtection="1">
      <alignment horizontal="center" vertical="center" wrapText="1"/>
      <protection locked="0"/>
    </xf>
    <xf numFmtId="0" fontId="8" fillId="9" borderId="8" xfId="2" applyFont="1" applyFill="1" applyBorder="1" applyAlignment="1" applyProtection="1">
      <alignment horizontal="center" vertical="center" wrapText="1"/>
      <protection hidden="1"/>
    </xf>
    <xf numFmtId="0" fontId="22" fillId="2" borderId="0" xfId="2" applyFont="1" applyFill="1" applyAlignment="1" applyProtection="1">
      <alignment vertical="center"/>
      <protection hidden="1"/>
    </xf>
    <xf numFmtId="164" fontId="6" fillId="9" borderId="4" xfId="1" applyNumberFormat="1" applyFont="1" applyFill="1" applyBorder="1" applyAlignment="1" applyProtection="1">
      <alignment horizontal="center" vertical="center" wrapText="1"/>
      <protection hidden="1"/>
    </xf>
    <xf numFmtId="165" fontId="6" fillId="9" borderId="4" xfId="1" applyNumberFormat="1" applyFont="1" applyFill="1" applyBorder="1" applyAlignment="1" applyProtection="1">
      <alignment horizontal="center" vertical="center" wrapText="1"/>
      <protection hidden="1"/>
    </xf>
    <xf numFmtId="0" fontId="13" fillId="3" borderId="77" xfId="0" applyFont="1" applyFill="1" applyBorder="1" applyAlignment="1" applyProtection="1">
      <alignment horizontal="center" vertical="center"/>
      <protection hidden="1"/>
    </xf>
    <xf numFmtId="0" fontId="13" fillId="3" borderId="79" xfId="0" applyFont="1" applyFill="1" applyBorder="1" applyAlignment="1" applyProtection="1">
      <alignment horizontal="center" vertical="center"/>
      <protection hidden="1"/>
    </xf>
    <xf numFmtId="0" fontId="13" fillId="3" borderId="79" xfId="0" applyFont="1" applyFill="1" applyBorder="1" applyAlignment="1" applyProtection="1">
      <alignment horizontal="center" vertical="center" wrapText="1"/>
      <protection hidden="1"/>
    </xf>
    <xf numFmtId="0" fontId="21" fillId="2" borderId="0" xfId="2" applyFont="1" applyFill="1" applyBorder="1" applyAlignment="1" applyProtection="1">
      <alignment horizontal="left" vertical="center" indent="4"/>
      <protection hidden="1"/>
    </xf>
    <xf numFmtId="0" fontId="22" fillId="2" borderId="0" xfId="2" applyFont="1" applyFill="1" applyBorder="1" applyAlignment="1" applyProtection="1">
      <alignment horizontal="left" vertical="center" indent="4"/>
      <protection hidden="1"/>
    </xf>
    <xf numFmtId="0" fontId="0" fillId="0" borderId="0" xfId="0" applyAlignment="1" applyProtection="1">
      <alignment horizontal="left" indent="5"/>
      <protection hidden="1"/>
    </xf>
    <xf numFmtId="0" fontId="11" fillId="5" borderId="77" xfId="0" applyFont="1" applyFill="1" applyBorder="1" applyAlignment="1" applyProtection="1">
      <alignment horizontal="center" vertical="center" wrapText="1"/>
      <protection hidden="1"/>
    </xf>
    <xf numFmtId="0" fontId="11" fillId="5" borderId="79" xfId="0" applyFont="1" applyFill="1" applyBorder="1" applyAlignment="1" applyProtection="1">
      <alignment horizontal="center" vertical="center" wrapText="1"/>
      <protection hidden="1"/>
    </xf>
    <xf numFmtId="0" fontId="22" fillId="10" borderId="0" xfId="2" applyFont="1" applyFill="1" applyBorder="1" applyAlignment="1" applyProtection="1">
      <alignment horizontal="left" wrapText="1"/>
      <protection hidden="1"/>
    </xf>
    <xf numFmtId="0" fontId="2" fillId="10" borderId="60" xfId="2" applyFont="1" applyFill="1" applyBorder="1" applyAlignment="1" applyProtection="1">
      <alignment horizontal="left" indent="6"/>
      <protection hidden="1"/>
    </xf>
    <xf numFmtId="0" fontId="22" fillId="10" borderId="61" xfId="2" applyFont="1" applyFill="1" applyBorder="1" applyAlignment="1" applyProtection="1">
      <alignment horizontal="left" wrapText="1"/>
      <protection hidden="1"/>
    </xf>
    <xf numFmtId="0" fontId="22" fillId="10" borderId="62" xfId="2" applyFont="1" applyFill="1" applyBorder="1" applyAlignment="1" applyProtection="1">
      <alignment horizontal="left" wrapText="1"/>
      <protection hidden="1"/>
    </xf>
    <xf numFmtId="0" fontId="2" fillId="10" borderId="63" xfId="2" applyFont="1" applyFill="1" applyBorder="1" applyAlignment="1" applyProtection="1">
      <alignment horizontal="left" indent="8"/>
      <protection hidden="1"/>
    </xf>
    <xf numFmtId="0" fontId="22" fillId="10" borderId="64" xfId="2" applyFont="1" applyFill="1" applyBorder="1" applyAlignment="1" applyProtection="1">
      <alignment horizontal="left" wrapText="1"/>
      <protection hidden="1"/>
    </xf>
    <xf numFmtId="0" fontId="2" fillId="10" borderId="25" xfId="2" applyFont="1" applyFill="1" applyBorder="1" applyAlignment="1" applyProtection="1">
      <alignment horizontal="left" indent="8"/>
      <protection hidden="1"/>
    </xf>
    <xf numFmtId="0" fontId="22" fillId="10" borderId="26" xfId="2" applyFont="1" applyFill="1" applyBorder="1" applyAlignment="1" applyProtection="1">
      <alignment horizontal="left" wrapText="1"/>
      <protection hidden="1"/>
    </xf>
    <xf numFmtId="0" fontId="22" fillId="10" borderId="27" xfId="2" applyFont="1" applyFill="1" applyBorder="1" applyAlignment="1" applyProtection="1">
      <alignment horizontal="left" wrapText="1"/>
      <protection hidden="1"/>
    </xf>
    <xf numFmtId="0" fontId="14" fillId="4" borderId="31" xfId="0" applyFont="1" applyFill="1" applyBorder="1" applyAlignment="1" applyProtection="1">
      <alignment horizontal="left" indent="1"/>
      <protection hidden="1"/>
    </xf>
    <xf numFmtId="0" fontId="2" fillId="4" borderId="31" xfId="4" applyNumberFormat="1" applyFont="1" applyFill="1" applyBorder="1" applyAlignment="1" applyProtection="1">
      <alignment horizontal="center"/>
      <protection hidden="1"/>
    </xf>
    <xf numFmtId="0" fontId="13" fillId="17" borderId="35" xfId="4" applyFont="1" applyFill="1" applyBorder="1" applyAlignment="1" applyProtection="1">
      <alignment horizontal="center" vertical="distributed" wrapText="1"/>
      <protection hidden="1"/>
    </xf>
    <xf numFmtId="0" fontId="13" fillId="17" borderId="3" xfId="4" applyFont="1" applyFill="1" applyBorder="1" applyAlignment="1" applyProtection="1">
      <alignment horizontal="center" vertical="distributed" wrapText="1"/>
      <protection hidden="1"/>
    </xf>
    <xf numFmtId="0" fontId="22" fillId="4" borderId="31" xfId="2" applyFont="1" applyFill="1" applyBorder="1" applyAlignment="1" applyProtection="1">
      <alignment horizontal="center" vertical="center"/>
      <protection hidden="1"/>
    </xf>
    <xf numFmtId="0" fontId="2" fillId="28" borderId="0" xfId="2" applyFill="1" applyAlignment="1" applyProtection="1">
      <alignment horizontal="left" indent="1"/>
      <protection hidden="1"/>
    </xf>
    <xf numFmtId="0" fontId="2" fillId="28" borderId="0" xfId="2" applyFill="1" applyProtection="1">
      <protection hidden="1"/>
    </xf>
    <xf numFmtId="0" fontId="22" fillId="28" borderId="0" xfId="2" applyFont="1" applyFill="1" applyAlignment="1" applyProtection="1">
      <alignment horizontal="left" indent="5"/>
      <protection hidden="1"/>
    </xf>
    <xf numFmtId="0" fontId="13" fillId="17" borderId="8" xfId="4" applyNumberFormat="1" applyFont="1" applyFill="1" applyBorder="1" applyAlignment="1" applyProtection="1">
      <alignment horizontal="center" vertical="center" wrapText="1"/>
      <protection hidden="1"/>
    </xf>
    <xf numFmtId="0" fontId="50" fillId="16" borderId="34" xfId="0" applyFont="1" applyFill="1" applyBorder="1" applyAlignment="1">
      <alignment horizontal="center" vertical="center" wrapText="1"/>
    </xf>
    <xf numFmtId="0" fontId="50" fillId="16" borderId="36" xfId="0" applyFont="1" applyFill="1" applyBorder="1" applyAlignment="1">
      <alignment horizontal="center" vertical="center" wrapText="1"/>
    </xf>
    <xf numFmtId="0" fontId="88" fillId="28" borderId="0" xfId="2" applyFont="1" applyFill="1" applyAlignment="1" applyProtection="1">
      <alignment horizontal="left" vertical="center"/>
      <protection hidden="1"/>
    </xf>
    <xf numFmtId="0" fontId="87" fillId="15" borderId="31" xfId="0" applyFont="1" applyFill="1" applyBorder="1" applyAlignment="1">
      <alignment horizontal="center" vertical="center" wrapText="1"/>
    </xf>
    <xf numFmtId="0" fontId="2" fillId="2" borderId="0" xfId="2" applyFill="1" applyBorder="1" applyAlignment="1" applyProtection="1">
      <alignment horizontal="left" vertical="top" indent="5"/>
      <protection hidden="1"/>
    </xf>
    <xf numFmtId="0" fontId="22" fillId="10" borderId="60" xfId="2" applyFont="1" applyFill="1" applyBorder="1" applyAlignment="1" applyProtection="1">
      <alignment horizontal="left" indent="6"/>
      <protection hidden="1"/>
    </xf>
    <xf numFmtId="0" fontId="2" fillId="2" borderId="0" xfId="2" applyFill="1" applyBorder="1" applyAlignment="1" applyProtection="1">
      <alignment horizontal="left" vertical="center" wrapText="1" indent="5"/>
      <protection hidden="1"/>
    </xf>
    <xf numFmtId="0" fontId="2" fillId="10" borderId="63" xfId="2" applyFill="1" applyBorder="1" applyAlignment="1" applyProtection="1">
      <alignment horizontal="left" indent="10"/>
      <protection hidden="1"/>
    </xf>
    <xf numFmtId="0" fontId="2" fillId="10" borderId="25" xfId="2" applyFill="1" applyBorder="1" applyAlignment="1" applyProtection="1">
      <alignment horizontal="left" indent="10"/>
      <protection hidden="1"/>
    </xf>
    <xf numFmtId="0" fontId="14" fillId="20" borderId="31" xfId="0" applyFont="1" applyFill="1" applyBorder="1" applyAlignment="1" applyProtection="1">
      <alignment horizontal="center" vertical="center" wrapText="1"/>
      <protection locked="0"/>
    </xf>
    <xf numFmtId="0" fontId="2" fillId="25" borderId="0" xfId="2" applyFill="1" applyBorder="1" applyAlignment="1" applyProtection="1">
      <alignment horizontal="left" vertical="top" wrapText="1"/>
      <protection hidden="1"/>
    </xf>
    <xf numFmtId="0" fontId="2" fillId="25" borderId="0" xfId="2" applyFill="1" applyBorder="1" applyAlignment="1" applyProtection="1">
      <alignment horizontal="left" vertical="center" wrapText="1"/>
      <protection hidden="1"/>
    </xf>
    <xf numFmtId="0" fontId="2" fillId="10" borderId="61" xfId="2" applyFill="1" applyBorder="1" applyAlignment="1">
      <alignment horizontal="left" indent="1"/>
    </xf>
    <xf numFmtId="0" fontId="2" fillId="10" borderId="62" xfId="2" applyFill="1" applyBorder="1" applyAlignment="1">
      <alignment horizontal="left" indent="1"/>
    </xf>
    <xf numFmtId="0" fontId="2" fillId="10" borderId="0" xfId="2" applyFill="1" applyBorder="1" applyAlignment="1">
      <alignment wrapText="1"/>
    </xf>
    <xf numFmtId="0" fontId="2" fillId="10" borderId="64" xfId="2" applyFill="1" applyBorder="1" applyAlignment="1">
      <alignment wrapText="1"/>
    </xf>
    <xf numFmtId="0" fontId="2" fillId="10" borderId="26" xfId="2" applyFill="1" applyBorder="1" applyAlignment="1">
      <alignment wrapText="1"/>
    </xf>
    <xf numFmtId="0" fontId="2" fillId="10" borderId="27" xfId="2" applyFill="1" applyBorder="1" applyAlignment="1">
      <alignment wrapText="1"/>
    </xf>
    <xf numFmtId="0" fontId="2" fillId="10" borderId="60" xfId="2" applyFill="1" applyBorder="1" applyAlignment="1">
      <alignment horizontal="left" indent="7"/>
    </xf>
    <xf numFmtId="0" fontId="22" fillId="10" borderId="63" xfId="2" quotePrefix="1" applyFont="1" applyFill="1" applyBorder="1" applyAlignment="1">
      <alignment horizontal="left" vertical="center" indent="7"/>
    </xf>
    <xf numFmtId="0" fontId="2" fillId="10" borderId="63" xfId="2" applyFill="1" applyBorder="1" applyAlignment="1">
      <alignment horizontal="left" vertical="center" indent="8"/>
    </xf>
    <xf numFmtId="0" fontId="2" fillId="10" borderId="63" xfId="2" applyFill="1" applyBorder="1" applyAlignment="1">
      <alignment horizontal="left" vertical="center" indent="9"/>
    </xf>
    <xf numFmtId="0" fontId="2" fillId="10" borderId="60" xfId="2" applyFill="1" applyBorder="1" applyAlignment="1">
      <alignment horizontal="left" vertical="center" indent="7"/>
    </xf>
    <xf numFmtId="0" fontId="2" fillId="10" borderId="63" xfId="2" quotePrefix="1" applyFill="1" applyBorder="1" applyAlignment="1">
      <alignment horizontal="left" indent="9"/>
    </xf>
    <xf numFmtId="0" fontId="2" fillId="10" borderId="25" xfId="2" quotePrefix="1" applyFill="1" applyBorder="1" applyAlignment="1">
      <alignment horizontal="left" indent="9"/>
    </xf>
    <xf numFmtId="0" fontId="14" fillId="2" borderId="0" xfId="2" applyFont="1" applyFill="1" applyProtection="1">
      <protection hidden="1"/>
    </xf>
    <xf numFmtId="0" fontId="144" fillId="2" borderId="0" xfId="3" applyFont="1" applyFill="1" applyAlignment="1" applyProtection="1">
      <alignment horizontal="center"/>
      <protection hidden="1"/>
    </xf>
    <xf numFmtId="0" fontId="120" fillId="2" borderId="0" xfId="2" applyFont="1" applyFill="1" applyProtection="1">
      <protection hidden="1"/>
    </xf>
    <xf numFmtId="165" fontId="14" fillId="4" borderId="31" xfId="0" applyNumberFormat="1" applyFont="1" applyFill="1" applyBorder="1" applyAlignment="1" applyProtection="1">
      <alignment horizontal="center" vertical="center" wrapText="1"/>
      <protection hidden="1"/>
    </xf>
    <xf numFmtId="0" fontId="13" fillId="6" borderId="77" xfId="0" applyFont="1" applyFill="1" applyBorder="1" applyAlignment="1" applyProtection="1">
      <alignment horizontal="center" vertical="center"/>
      <protection hidden="1"/>
    </xf>
    <xf numFmtId="0" fontId="13" fillId="6" borderId="79" xfId="0" applyFont="1" applyFill="1" applyBorder="1" applyAlignment="1" applyProtection="1">
      <alignment horizontal="center" vertical="center" wrapText="1"/>
      <protection hidden="1"/>
    </xf>
    <xf numFmtId="0" fontId="13" fillId="6" borderId="79" xfId="0" applyFont="1" applyFill="1" applyBorder="1" applyAlignment="1" applyProtection="1">
      <alignment horizontal="center" vertical="center"/>
      <protection hidden="1"/>
    </xf>
    <xf numFmtId="0" fontId="2" fillId="2" borderId="33" xfId="2" applyFill="1" applyBorder="1" applyProtection="1">
      <protection hidden="1"/>
    </xf>
    <xf numFmtId="0" fontId="13" fillId="6" borderId="87" xfId="0" applyFont="1" applyFill="1" applyBorder="1" applyAlignment="1" applyProtection="1">
      <alignment horizontal="center" vertical="center" wrapText="1"/>
      <protection hidden="1"/>
    </xf>
    <xf numFmtId="0" fontId="13" fillId="6" borderId="102" xfId="0" applyFont="1" applyFill="1" applyBorder="1" applyAlignment="1" applyProtection="1">
      <alignment horizontal="center" vertical="center" wrapText="1"/>
      <protection hidden="1"/>
    </xf>
    <xf numFmtId="3" fontId="14" fillId="4" borderId="31" xfId="0" applyNumberFormat="1" applyFont="1" applyFill="1" applyBorder="1" applyAlignment="1" applyProtection="1">
      <alignment horizontal="center" vertical="center" wrapText="1"/>
      <protection hidden="1"/>
    </xf>
    <xf numFmtId="0" fontId="145" fillId="2" borderId="0" xfId="3" applyFont="1" applyFill="1" applyAlignment="1" applyProtection="1">
      <alignment horizontal="center"/>
      <protection hidden="1"/>
    </xf>
    <xf numFmtId="0" fontId="146" fillId="2" borderId="0" xfId="3" applyFont="1" applyFill="1" applyAlignment="1" applyProtection="1">
      <alignment horizontal="center"/>
      <protection hidden="1"/>
    </xf>
    <xf numFmtId="0" fontId="20" fillId="7" borderId="29" xfId="2" applyFont="1" applyFill="1" applyBorder="1" applyAlignment="1" applyProtection="1">
      <alignment horizontal="center" vertical="center" wrapText="1"/>
      <protection hidden="1"/>
    </xf>
    <xf numFmtId="0" fontId="87" fillId="2" borderId="0" xfId="2" applyFont="1" applyFill="1" applyBorder="1" applyAlignment="1">
      <alignment horizontal="left" indent="6"/>
    </xf>
    <xf numFmtId="0" fontId="2" fillId="2" borderId="0" xfId="2" applyFont="1" applyFill="1" applyBorder="1" applyAlignment="1">
      <alignment horizontal="left" indent="5"/>
    </xf>
    <xf numFmtId="0" fontId="2" fillId="2" borderId="0" xfId="2" applyFill="1" applyBorder="1" applyAlignment="1">
      <alignment horizontal="left" indent="7"/>
    </xf>
    <xf numFmtId="0" fontId="21" fillId="2" borderId="0" xfId="2" applyFont="1" applyFill="1" applyBorder="1" applyAlignment="1">
      <alignment horizontal="left" indent="5"/>
    </xf>
    <xf numFmtId="0" fontId="2" fillId="10" borderId="60" xfId="2" applyFont="1" applyFill="1" applyBorder="1" applyAlignment="1" applyProtection="1">
      <alignment horizontal="left" vertical="center" indent="6"/>
      <protection hidden="1"/>
    </xf>
    <xf numFmtId="0" fontId="2" fillId="10" borderId="25" xfId="2" applyFont="1" applyFill="1" applyBorder="1" applyAlignment="1" applyProtection="1">
      <alignment horizontal="left" vertical="center" indent="6"/>
      <protection hidden="1"/>
    </xf>
    <xf numFmtId="0" fontId="0" fillId="6" borderId="0" xfId="0" applyFont="1" applyFill="1"/>
    <xf numFmtId="0" fontId="22" fillId="26" borderId="0" xfId="2" applyFont="1" applyFill="1" applyBorder="1" applyAlignment="1" applyProtection="1">
      <alignment horizontal="left" indent="6"/>
      <protection hidden="1"/>
    </xf>
    <xf numFmtId="0" fontId="2" fillId="25" borderId="0" xfId="2" applyFont="1" applyFill="1" applyBorder="1" applyAlignment="1" applyProtection="1">
      <alignment horizontal="left" indent="6"/>
      <protection hidden="1"/>
    </xf>
    <xf numFmtId="0" fontId="2" fillId="25" borderId="0" xfId="2" applyFont="1" applyFill="1" applyBorder="1" applyAlignment="1" applyProtection="1">
      <alignment vertical="top" wrapText="1"/>
      <protection hidden="1"/>
    </xf>
    <xf numFmtId="0" fontId="21" fillId="25" borderId="0" xfId="2" applyFont="1" applyFill="1" applyAlignment="1" applyProtection="1">
      <alignment wrapText="1"/>
      <protection hidden="1"/>
    </xf>
    <xf numFmtId="0" fontId="21" fillId="25" borderId="0" xfId="2" applyFont="1" applyFill="1" applyAlignment="1" applyProtection="1">
      <alignment vertical="center"/>
      <protection hidden="1"/>
    </xf>
    <xf numFmtId="0" fontId="2" fillId="26" borderId="63" xfId="2" applyFill="1" applyBorder="1" applyProtection="1">
      <protection hidden="1"/>
    </xf>
    <xf numFmtId="166" fontId="14" fillId="10" borderId="31" xfId="0" applyNumberFormat="1" applyFont="1" applyFill="1" applyBorder="1" applyAlignment="1" applyProtection="1">
      <alignment horizontal="center" vertical="center" wrapText="1"/>
      <protection hidden="1"/>
    </xf>
    <xf numFmtId="0" fontId="22" fillId="25" borderId="0" xfId="2" applyFont="1" applyFill="1" applyBorder="1" applyAlignment="1" applyProtection="1">
      <alignment horizontal="left" vertical="center" indent="6"/>
      <protection hidden="1"/>
    </xf>
    <xf numFmtId="0" fontId="2" fillId="26" borderId="0" xfId="0" applyFont="1" applyFill="1" applyAlignment="1">
      <alignment vertical="center" wrapText="1"/>
    </xf>
    <xf numFmtId="0" fontId="2" fillId="10" borderId="63" xfId="2" applyFill="1" applyBorder="1" applyAlignment="1" applyProtection="1">
      <alignment horizontal="left" indent="7"/>
      <protection hidden="1"/>
    </xf>
    <xf numFmtId="0" fontId="14" fillId="20" borderId="31" xfId="0" applyFont="1" applyFill="1" applyBorder="1" applyAlignment="1" applyProtection="1">
      <alignment horizontal="center" vertical="center" wrapText="1"/>
      <protection locked="0" hidden="1"/>
    </xf>
    <xf numFmtId="0" fontId="13" fillId="21" borderId="10" xfId="0" applyFont="1" applyFill="1" applyBorder="1" applyAlignment="1" applyProtection="1">
      <alignment horizontal="center" vertical="center"/>
      <protection hidden="1"/>
    </xf>
    <xf numFmtId="0" fontId="2" fillId="10" borderId="63" xfId="2" applyFill="1" applyBorder="1" applyAlignment="1" applyProtection="1">
      <alignment horizontal="left" indent="8"/>
      <protection hidden="1"/>
    </xf>
    <xf numFmtId="0" fontId="2" fillId="10" borderId="25" xfId="2" applyFill="1" applyBorder="1" applyAlignment="1" applyProtection="1">
      <alignment horizontal="left" indent="8"/>
      <protection hidden="1"/>
    </xf>
    <xf numFmtId="0" fontId="2" fillId="10" borderId="60" xfId="2" applyFill="1" applyBorder="1" applyAlignment="1" applyProtection="1">
      <alignment horizontal="left" indent="7"/>
      <protection hidden="1"/>
    </xf>
    <xf numFmtId="0" fontId="14" fillId="20" borderId="81" xfId="0" applyFont="1" applyFill="1" applyBorder="1" applyAlignment="1" applyProtection="1">
      <alignment horizontal="center" vertical="center" wrapText="1"/>
      <protection locked="0"/>
    </xf>
    <xf numFmtId="0" fontId="14" fillId="20" borderId="65" xfId="0" applyFont="1" applyFill="1" applyBorder="1" applyAlignment="1" applyProtection="1">
      <alignment horizontal="center" vertical="center" wrapText="1"/>
      <protection locked="0"/>
    </xf>
    <xf numFmtId="0" fontId="22" fillId="10" borderId="60" xfId="2" applyFont="1" applyFill="1" applyBorder="1" applyAlignment="1" applyProtection="1">
      <alignment horizontal="left" indent="7"/>
      <protection hidden="1"/>
    </xf>
    <xf numFmtId="0" fontId="14" fillId="20" borderId="75" xfId="0" applyFont="1" applyFill="1" applyBorder="1" applyAlignment="1" applyProtection="1">
      <alignment horizontal="center" vertical="center" wrapText="1"/>
      <protection locked="0"/>
    </xf>
    <xf numFmtId="0" fontId="2" fillId="10" borderId="63" xfId="2" quotePrefix="1" applyFill="1" applyBorder="1" applyAlignment="1" applyProtection="1">
      <alignment horizontal="left" indent="9"/>
      <protection hidden="1"/>
    </xf>
    <xf numFmtId="0" fontId="2" fillId="10" borderId="63" xfId="2" quotePrefix="1" applyFill="1" applyBorder="1" applyAlignment="1" applyProtection="1">
      <alignment horizontal="left" indent="10"/>
      <protection hidden="1"/>
    </xf>
    <xf numFmtId="0" fontId="2" fillId="25" borderId="0" xfId="2" applyFill="1" applyBorder="1" applyAlignment="1" applyProtection="1">
      <alignment horizontal="left" indent="6"/>
      <protection hidden="1"/>
    </xf>
    <xf numFmtId="0" fontId="2" fillId="10" borderId="25" xfId="2" quotePrefix="1" applyFill="1" applyBorder="1" applyAlignment="1" applyProtection="1">
      <alignment horizontal="left" indent="9"/>
      <protection hidden="1"/>
    </xf>
    <xf numFmtId="0" fontId="22" fillId="10" borderId="63" xfId="2" quotePrefix="1" applyFont="1" applyFill="1" applyBorder="1" applyAlignment="1" applyProtection="1">
      <alignment horizontal="left" indent="9"/>
      <protection hidden="1"/>
    </xf>
    <xf numFmtId="0" fontId="22" fillId="25" borderId="0" xfId="0" applyFont="1" applyFill="1" applyBorder="1" applyAlignment="1" applyProtection="1">
      <alignment horizontal="left" vertical="center" indent="5"/>
      <protection hidden="1"/>
    </xf>
    <xf numFmtId="0" fontId="2" fillId="26" borderId="0" xfId="2" applyFont="1" applyFill="1" applyBorder="1" applyAlignment="1" applyProtection="1">
      <alignment horizontal="left" indent="5"/>
      <protection hidden="1"/>
    </xf>
    <xf numFmtId="0" fontId="14" fillId="20" borderId="4" xfId="0" applyFont="1" applyFill="1" applyBorder="1" applyAlignment="1" applyProtection="1">
      <alignment horizontal="center" vertical="center" wrapText="1"/>
      <protection locked="0"/>
    </xf>
    <xf numFmtId="0" fontId="22" fillId="2" borderId="0" xfId="2" applyFont="1" applyFill="1" applyBorder="1" applyAlignment="1" applyProtection="1">
      <alignment horizontal="left" indent="5"/>
      <protection hidden="1"/>
    </xf>
    <xf numFmtId="0" fontId="14" fillId="20" borderId="4" xfId="0" applyFont="1" applyFill="1" applyBorder="1" applyAlignment="1" applyProtection="1">
      <alignment horizontal="center" vertical="center" wrapText="1"/>
      <protection locked="0"/>
    </xf>
    <xf numFmtId="0" fontId="13" fillId="3" borderId="10" xfId="0" applyFont="1" applyFill="1" applyBorder="1" applyAlignment="1" applyProtection="1">
      <alignment horizontal="center" vertical="center"/>
      <protection hidden="1"/>
    </xf>
    <xf numFmtId="0" fontId="2" fillId="2" borderId="32" xfId="2" applyFill="1" applyBorder="1" applyProtection="1">
      <protection hidden="1"/>
    </xf>
    <xf numFmtId="0" fontId="2" fillId="4" borderId="35" xfId="2" applyFont="1" applyFill="1" applyBorder="1" applyAlignment="1" applyProtection="1">
      <alignment horizontal="center" vertical="center" wrapText="1"/>
      <protection hidden="1"/>
    </xf>
    <xf numFmtId="0" fontId="2" fillId="2" borderId="7" xfId="2" applyFill="1" applyBorder="1" applyProtection="1">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3" fillId="21" borderId="8" xfId="0" applyFont="1" applyFill="1" applyBorder="1" applyAlignment="1" applyProtection="1">
      <alignment horizontal="center" vertical="center" wrapText="1"/>
      <protection hidden="1"/>
    </xf>
    <xf numFmtId="0" fontId="13" fillId="17" borderId="7" xfId="4" applyFont="1" applyFill="1" applyBorder="1" applyAlignment="1" applyProtection="1">
      <alignment horizontal="center" vertical="center" wrapText="1"/>
      <protection hidden="1"/>
    </xf>
    <xf numFmtId="168" fontId="14" fillId="20" borderId="4" xfId="0" applyNumberFormat="1" applyFont="1" applyFill="1" applyBorder="1" applyAlignment="1" applyProtection="1">
      <alignment horizontal="center" vertical="center" wrapText="1"/>
      <protection locked="0"/>
    </xf>
    <xf numFmtId="0" fontId="68" fillId="11" borderId="0" xfId="2" applyFont="1" applyFill="1" applyBorder="1" applyAlignment="1" applyProtection="1">
      <alignment horizontal="left" vertical="center" wrapText="1" indent="1"/>
      <protection hidden="1"/>
    </xf>
    <xf numFmtId="0" fontId="14" fillId="20" borderId="4" xfId="0" applyFont="1" applyFill="1" applyBorder="1" applyAlignment="1" applyProtection="1">
      <alignment horizontal="center" vertical="center" wrapText="1"/>
      <protection locked="0"/>
    </xf>
    <xf numFmtId="0" fontId="2" fillId="10" borderId="63" xfId="2" applyFill="1" applyBorder="1" applyAlignment="1" applyProtection="1">
      <alignment horizontal="left" indent="8"/>
      <protection hidden="1"/>
    </xf>
    <xf numFmtId="0" fontId="2" fillId="10" borderId="0" xfId="2" applyFill="1" applyBorder="1" applyAlignment="1" applyProtection="1">
      <alignment horizontal="left" indent="8"/>
      <protection hidden="1"/>
    </xf>
    <xf numFmtId="0" fontId="2" fillId="10" borderId="64" xfId="2" applyFill="1" applyBorder="1" applyAlignment="1" applyProtection="1">
      <alignment horizontal="left" indent="8"/>
      <protection hidden="1"/>
    </xf>
    <xf numFmtId="0" fontId="2" fillId="10" borderId="25" xfId="2" applyFill="1" applyBorder="1" applyAlignment="1" applyProtection="1">
      <alignment horizontal="left" indent="8"/>
      <protection hidden="1"/>
    </xf>
    <xf numFmtId="0" fontId="2" fillId="10" borderId="26" xfId="2" applyFill="1" applyBorder="1" applyAlignment="1" applyProtection="1">
      <alignment horizontal="left" indent="8"/>
      <protection hidden="1"/>
    </xf>
    <xf numFmtId="0" fontId="2" fillId="10" borderId="27" xfId="2" applyFill="1" applyBorder="1" applyAlignment="1" applyProtection="1">
      <alignment horizontal="left" indent="8"/>
      <protection hidden="1"/>
    </xf>
    <xf numFmtId="0" fontId="14" fillId="20" borderId="31" xfId="0" applyFont="1" applyFill="1" applyBorder="1" applyAlignment="1" applyProtection="1">
      <alignment horizontal="center" vertical="center" wrapText="1"/>
      <protection locked="0"/>
    </xf>
    <xf numFmtId="0" fontId="13" fillId="6" borderId="79" xfId="0" applyFont="1" applyFill="1" applyBorder="1" applyAlignment="1" applyProtection="1">
      <alignment horizontal="center" vertical="center"/>
      <protection hidden="1"/>
    </xf>
    <xf numFmtId="166" fontId="14" fillId="20" borderId="4" xfId="0" applyNumberFormat="1" applyFont="1" applyFill="1" applyBorder="1" applyAlignment="1" applyProtection="1">
      <alignment horizontal="center" vertical="center" wrapText="1"/>
      <protection locked="0"/>
    </xf>
    <xf numFmtId="0" fontId="14" fillId="10" borderId="31" xfId="0"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indent="5"/>
      <protection hidden="1"/>
    </xf>
    <xf numFmtId="0" fontId="87" fillId="15" borderId="4" xfId="0" applyFont="1" applyFill="1" applyBorder="1" applyAlignment="1">
      <alignment horizontal="center" vertical="center" wrapText="1"/>
    </xf>
    <xf numFmtId="0" fontId="2" fillId="4" borderId="81" xfId="0"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vertical="center" indent="6"/>
      <protection hidden="1"/>
    </xf>
    <xf numFmtId="0" fontId="2" fillId="10" borderId="63" xfId="2" applyFont="1" applyFill="1" applyBorder="1" applyAlignment="1" applyProtection="1">
      <alignment horizontal="left" indent="6"/>
      <protection hidden="1"/>
    </xf>
    <xf numFmtId="0" fontId="2" fillId="2" borderId="0" xfId="2" applyFill="1" applyBorder="1" applyAlignment="1" applyProtection="1">
      <alignment horizontal="left" indent="6"/>
      <protection hidden="1"/>
    </xf>
    <xf numFmtId="2" fontId="2" fillId="10" borderId="31" xfId="0" applyNumberFormat="1" applyFont="1" applyFill="1" applyBorder="1" applyAlignment="1" applyProtection="1">
      <alignment horizontal="center" vertical="center" wrapText="1"/>
      <protection hidden="1"/>
    </xf>
    <xf numFmtId="0" fontId="13" fillId="6" borderId="8" xfId="0" applyFont="1" applyFill="1" applyBorder="1" applyAlignment="1" applyProtection="1">
      <alignment horizontal="center" vertical="center"/>
      <protection hidden="1"/>
    </xf>
    <xf numFmtId="0" fontId="0" fillId="2" borderId="0" xfId="0" applyFont="1" applyFill="1" applyAlignment="1" applyProtection="1">
      <alignment horizontal="left" vertical="top" wrapText="1" inden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horizontal="left" vertical="top"/>
      <protection hidden="1"/>
    </xf>
    <xf numFmtId="0" fontId="0" fillId="2" borderId="0" xfId="0" applyFill="1" applyAlignment="1" applyProtection="1">
      <alignment horizontal="left" vertical="top" wrapText="1"/>
      <protection hidden="1"/>
    </xf>
    <xf numFmtId="0" fontId="13" fillId="21" borderId="7" xfId="0" applyFont="1" applyFill="1" applyBorder="1" applyAlignment="1" applyProtection="1">
      <alignment horizontal="center" vertical="center" wrapText="1"/>
      <protection hidden="1"/>
    </xf>
    <xf numFmtId="0" fontId="2" fillId="20" borderId="31" xfId="2" applyFont="1" applyFill="1" applyBorder="1" applyAlignment="1" applyProtection="1">
      <alignment horizontal="center" vertical="center"/>
      <protection locked="0"/>
    </xf>
    <xf numFmtId="0" fontId="2" fillId="20" borderId="4" xfId="2" applyFont="1" applyFill="1" applyBorder="1" applyAlignment="1" applyProtection="1">
      <alignment horizontal="center" vertical="center"/>
      <protection locked="0"/>
    </xf>
    <xf numFmtId="0" fontId="50" fillId="21" borderId="7" xfId="0" applyFont="1" applyFill="1" applyBorder="1" applyAlignment="1">
      <alignment horizontal="center" vertical="center" wrapText="1"/>
    </xf>
    <xf numFmtId="0" fontId="50" fillId="21" borderId="8" xfId="0" applyFont="1" applyFill="1" applyBorder="1" applyAlignment="1">
      <alignment horizontal="center" vertical="center" wrapText="1"/>
    </xf>
    <xf numFmtId="0" fontId="13" fillId="21" borderId="8" xfId="0" applyFont="1" applyFill="1" applyBorder="1" applyAlignment="1" applyProtection="1">
      <alignment horizontal="center" vertical="center" wrapText="1"/>
      <protection hidden="1"/>
    </xf>
    <xf numFmtId="0" fontId="14" fillId="15" borderId="4" xfId="0" applyFont="1" applyFill="1" applyBorder="1" applyAlignment="1">
      <alignment horizontal="center" vertical="center" wrapText="1"/>
    </xf>
    <xf numFmtId="0" fontId="14" fillId="15" borderId="31" xfId="0" applyFont="1" applyFill="1" applyBorder="1" applyAlignment="1">
      <alignment horizontal="center" vertical="center" wrapText="1"/>
    </xf>
    <xf numFmtId="0" fontId="14" fillId="20" borderId="4" xfId="0" applyFont="1" applyFill="1" applyBorder="1" applyAlignment="1" applyProtection="1">
      <alignment horizontal="center" vertical="center" wrapText="1"/>
      <protection locked="0"/>
    </xf>
    <xf numFmtId="0" fontId="2" fillId="10" borderId="63" xfId="2" applyFill="1" applyBorder="1" applyAlignment="1" applyProtection="1">
      <alignment horizontal="left" indent="8"/>
      <protection hidden="1"/>
    </xf>
    <xf numFmtId="0" fontId="2" fillId="10" borderId="25" xfId="2" applyFill="1" applyBorder="1" applyAlignment="1" applyProtection="1">
      <alignment horizontal="left" indent="8"/>
      <protection hidden="1"/>
    </xf>
    <xf numFmtId="0" fontId="14" fillId="26" borderId="0" xfId="0" applyFont="1" applyFill="1" applyAlignment="1">
      <alignment horizontal="left" indent="5"/>
    </xf>
    <xf numFmtId="0" fontId="0" fillId="26" borderId="0" xfId="0" applyFill="1" applyAlignment="1"/>
    <xf numFmtId="0" fontId="76" fillId="26" borderId="0" xfId="0" applyFont="1" applyFill="1" applyAlignment="1">
      <alignment horizontal="left" indent="5"/>
    </xf>
    <xf numFmtId="0" fontId="2" fillId="20" borderId="31" xfId="0" applyFont="1" applyFill="1" applyBorder="1" applyAlignment="1" applyProtection="1">
      <alignment horizontal="center" vertical="center"/>
      <protection locked="0"/>
    </xf>
    <xf numFmtId="0" fontId="2" fillId="26" borderId="0" xfId="2" applyFont="1" applyFill="1" applyAlignment="1" applyProtection="1">
      <alignment vertical="center"/>
      <protection hidden="1"/>
    </xf>
    <xf numFmtId="0" fontId="2" fillId="20" borderId="4" xfId="0" applyFont="1" applyFill="1" applyBorder="1" applyAlignment="1" applyProtection="1">
      <alignment horizontal="center" vertical="center"/>
      <protection locked="0"/>
    </xf>
    <xf numFmtId="0" fontId="2" fillId="32" borderId="4" xfId="0" applyFont="1" applyFill="1" applyBorder="1" applyAlignment="1" applyProtection="1">
      <alignment horizontal="center" vertical="center"/>
      <protection hidden="1"/>
    </xf>
    <xf numFmtId="0" fontId="2" fillId="26" borderId="0" xfId="2" applyFont="1" applyFill="1" applyAlignment="1" applyProtection="1">
      <alignment horizontal="right" vertical="center" indent="1"/>
      <protection hidden="1"/>
    </xf>
    <xf numFmtId="0" fontId="21" fillId="26" borderId="0" xfId="2" applyFont="1" applyFill="1" applyBorder="1" applyAlignment="1">
      <alignment horizontal="left" indent="5"/>
    </xf>
    <xf numFmtId="0" fontId="2" fillId="26" borderId="0" xfId="2" applyFill="1" applyBorder="1" applyAlignment="1">
      <alignment horizontal="left" indent="5"/>
    </xf>
    <xf numFmtId="0" fontId="2" fillId="11" borderId="0" xfId="2" applyFont="1" applyFill="1" applyBorder="1" applyAlignment="1">
      <alignment vertical="center"/>
    </xf>
    <xf numFmtId="0" fontId="19" fillId="0" borderId="0" xfId="0" applyFont="1" applyAlignment="1">
      <alignment vertical="center"/>
    </xf>
    <xf numFmtId="0" fontId="0" fillId="2" borderId="0" xfId="0" applyFont="1" applyFill="1" applyAlignment="1" applyProtection="1">
      <alignment horizontal="left" indent="3"/>
      <protection hidden="1"/>
    </xf>
    <xf numFmtId="0" fontId="156" fillId="11" borderId="0" xfId="0" applyFont="1" applyFill="1" applyAlignment="1" applyProtection="1">
      <protection hidden="1"/>
    </xf>
    <xf numFmtId="0" fontId="0" fillId="11" borderId="0" xfId="0" applyFill="1" applyAlignment="1" applyProtection="1">
      <alignment horizontal="left" indent="1"/>
      <protection hidden="1"/>
    </xf>
    <xf numFmtId="0" fontId="0" fillId="11" borderId="112" xfId="0" applyFill="1" applyBorder="1" applyProtection="1">
      <protection hidden="1"/>
    </xf>
    <xf numFmtId="0" fontId="2" fillId="11" borderId="0" xfId="2" applyFont="1" applyFill="1" applyBorder="1" applyAlignment="1">
      <alignment wrapText="1"/>
    </xf>
    <xf numFmtId="0" fontId="19" fillId="0" borderId="0" xfId="0" applyFont="1" applyAlignment="1">
      <alignment wrapText="1"/>
    </xf>
    <xf numFmtId="0" fontId="95" fillId="2" borderId="0" xfId="0" applyFont="1" applyFill="1" applyAlignment="1">
      <alignment horizontal="left" vertical="center" indent="1"/>
    </xf>
    <xf numFmtId="0" fontId="161" fillId="2" borderId="0" xfId="0" applyFont="1" applyFill="1" applyAlignment="1" applyProtection="1">
      <alignment horizontal="left" indent="1"/>
      <protection hidden="1"/>
    </xf>
    <xf numFmtId="0" fontId="76" fillId="26" borderId="0" xfId="0" applyFont="1" applyFill="1" applyAlignment="1">
      <alignment horizontal="left" vertical="center" indent="5"/>
    </xf>
    <xf numFmtId="0" fontId="50" fillId="8" borderId="4" xfId="0" applyFont="1" applyFill="1" applyBorder="1" applyAlignment="1">
      <alignment horizontal="center" vertical="center" wrapText="1"/>
    </xf>
    <xf numFmtId="0" fontId="50" fillId="8" borderId="4" xfId="0" applyFont="1" applyFill="1" applyBorder="1" applyAlignment="1">
      <alignment horizontal="center" vertical="center"/>
    </xf>
    <xf numFmtId="0" fontId="14" fillId="15" borderId="4" xfId="0" applyFont="1" applyFill="1" applyBorder="1" applyAlignment="1">
      <alignment horizontal="center" vertical="center"/>
    </xf>
    <xf numFmtId="0" fontId="21" fillId="2" borderId="0" xfId="2" applyFont="1" applyFill="1" applyBorder="1" applyAlignment="1" applyProtection="1">
      <alignment horizontal="center" vertical="top"/>
      <protection hidden="1"/>
    </xf>
    <xf numFmtId="0" fontId="2" fillId="2" borderId="26" xfId="2" applyFont="1" applyFill="1" applyBorder="1"/>
    <xf numFmtId="0" fontId="2" fillId="2" borderId="64" xfId="2" applyFont="1" applyFill="1" applyBorder="1" applyAlignment="1" applyProtection="1">
      <alignment vertical="center" wrapText="1"/>
      <protection hidden="1"/>
    </xf>
    <xf numFmtId="0" fontId="21" fillId="2" borderId="64" xfId="2" applyFont="1" applyFill="1" applyBorder="1" applyAlignment="1" applyProtection="1">
      <alignment horizontal="center" vertical="top"/>
      <protection hidden="1"/>
    </xf>
    <xf numFmtId="0" fontId="66" fillId="2" borderId="0" xfId="0" applyFont="1" applyFill="1" applyAlignment="1">
      <alignment horizontal="left" vertical="center" wrapText="1"/>
    </xf>
    <xf numFmtId="0" fontId="66" fillId="2" borderId="0" xfId="0" applyFont="1" applyFill="1" applyBorder="1" applyAlignment="1">
      <alignment horizontal="left" vertical="center" wrapText="1"/>
    </xf>
    <xf numFmtId="0" fontId="2" fillId="2" borderId="0" xfId="2" applyFont="1" applyFill="1" applyBorder="1" applyAlignment="1" applyProtection="1">
      <alignment horizontal="center" vertical="center" wrapText="1"/>
      <protection hidden="1"/>
    </xf>
    <xf numFmtId="0" fontId="2" fillId="2" borderId="0" xfId="2" applyFont="1" applyFill="1" applyBorder="1" applyAlignment="1"/>
    <xf numFmtId="0" fontId="2" fillId="2" borderId="0" xfId="2" applyFont="1" applyFill="1" applyBorder="1" applyAlignment="1">
      <alignment vertical="center" wrapText="1"/>
    </xf>
    <xf numFmtId="0" fontId="88" fillId="2" borderId="0" xfId="2" applyFont="1" applyFill="1" applyBorder="1"/>
    <xf numFmtId="0" fontId="2" fillId="2" borderId="26" xfId="2" applyFont="1" applyFill="1" applyBorder="1" applyAlignment="1"/>
    <xf numFmtId="0" fontId="22" fillId="2" borderId="0" xfId="2" applyFont="1" applyFill="1" applyBorder="1" applyAlignment="1">
      <alignment vertical="center"/>
    </xf>
    <xf numFmtId="0" fontId="14" fillId="20" borderId="4"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hidden="1"/>
    </xf>
    <xf numFmtId="0" fontId="50" fillId="21" borderId="4" xfId="0" applyFont="1" applyFill="1" applyBorder="1" applyAlignment="1" applyProtection="1">
      <alignment horizontal="left" vertical="center" wrapText="1"/>
      <protection hidden="1"/>
    </xf>
    <xf numFmtId="0" fontId="50" fillId="21" borderId="31" xfId="0" applyFont="1" applyFill="1" applyBorder="1" applyAlignment="1" applyProtection="1">
      <alignment horizontal="center" vertical="center" wrapText="1"/>
      <protection hidden="1"/>
    </xf>
    <xf numFmtId="0" fontId="14" fillId="20" borderId="31" xfId="0" applyFont="1" applyFill="1" applyBorder="1" applyAlignment="1" applyProtection="1">
      <alignment horizontal="center" vertical="center" wrapText="1"/>
      <protection locked="0"/>
    </xf>
    <xf numFmtId="0" fontId="21" fillId="25" borderId="0" xfId="2" applyFont="1" applyFill="1" applyAlignment="1" applyProtection="1">
      <alignment vertical="center" wrapText="1"/>
      <protection hidden="1"/>
    </xf>
    <xf numFmtId="0" fontId="2" fillId="2" borderId="0" xfId="2" applyFill="1" applyBorder="1" applyAlignment="1" applyProtection="1">
      <alignment horizontal="left" indent="1"/>
      <protection hidden="1"/>
    </xf>
    <xf numFmtId="0" fontId="2" fillId="2" borderId="0" xfId="2" applyFill="1" applyAlignment="1" applyProtection="1">
      <alignment horizontal="left" indent="1"/>
      <protection hidden="1"/>
    </xf>
    <xf numFmtId="0" fontId="22" fillId="2" borderId="0" xfId="2" applyFont="1" applyFill="1" applyBorder="1" applyAlignment="1" applyProtection="1">
      <alignment horizontal="left" indent="2"/>
      <protection hidden="1"/>
    </xf>
    <xf numFmtId="0" fontId="2" fillId="2" borderId="0" xfId="2" applyFill="1" applyBorder="1" applyAlignment="1" applyProtection="1">
      <alignment horizontal="left" indent="2"/>
      <protection hidden="1"/>
    </xf>
    <xf numFmtId="0" fontId="2" fillId="2" borderId="0" xfId="2" applyFill="1" applyAlignment="1" applyProtection="1">
      <alignment horizontal="left" indent="2"/>
      <protection hidden="1"/>
    </xf>
    <xf numFmtId="0" fontId="2" fillId="2" borderId="0" xfId="2" applyFont="1" applyFill="1" applyBorder="1" applyAlignment="1" applyProtection="1">
      <alignment horizontal="left" indent="2"/>
      <protection hidden="1"/>
    </xf>
    <xf numFmtId="0" fontId="22" fillId="4" borderId="4" xfId="2" applyFont="1" applyFill="1" applyBorder="1" applyAlignment="1">
      <alignment horizontal="center"/>
    </xf>
    <xf numFmtId="0" fontId="22" fillId="4" borderId="4" xfId="2" applyNumberFormat="1" applyFont="1" applyFill="1" applyBorder="1" applyAlignment="1">
      <alignment horizontal="center" vertical="center" wrapText="1"/>
    </xf>
    <xf numFmtId="0" fontId="2" fillId="2" borderId="0" xfId="2" applyFill="1" applyBorder="1" applyProtection="1">
      <protection locked="0"/>
    </xf>
    <xf numFmtId="0" fontId="19" fillId="20" borderId="4" xfId="0" applyFont="1" applyFill="1" applyBorder="1" applyAlignment="1" applyProtection="1">
      <alignment horizontal="center" vertical="center" wrapText="1"/>
      <protection locked="0" hidden="1"/>
    </xf>
    <xf numFmtId="0" fontId="2" fillId="2" borderId="38" xfId="2" applyFill="1" applyBorder="1" applyProtection="1">
      <protection hidden="1"/>
    </xf>
    <xf numFmtId="0" fontId="14" fillId="20" borderId="0" xfId="0" applyFont="1" applyFill="1" applyBorder="1" applyAlignment="1" applyProtection="1">
      <alignment horizontal="center" vertical="center" wrapText="1"/>
      <protection locked="0" hidden="1"/>
    </xf>
    <xf numFmtId="0" fontId="19" fillId="20" borderId="4" xfId="0" applyFont="1" applyFill="1" applyBorder="1" applyAlignment="1" applyProtection="1">
      <alignment horizontal="center" vertical="center" wrapText="1"/>
      <protection locked="0" hidden="1"/>
    </xf>
    <xf numFmtId="0" fontId="14" fillId="20" borderId="4" xfId="0" applyFont="1" applyFill="1" applyBorder="1" applyAlignment="1" applyProtection="1">
      <alignment horizontal="center" vertical="center" wrapText="1"/>
      <protection locked="0"/>
    </xf>
    <xf numFmtId="3" fontId="14" fillId="20" borderId="4" xfId="0" applyNumberFormat="1" applyFont="1" applyFill="1" applyBorder="1" applyAlignment="1" applyProtection="1">
      <alignment horizontal="center" vertical="center"/>
      <protection locked="0"/>
    </xf>
    <xf numFmtId="0" fontId="14" fillId="20" borderId="4" xfId="0" applyFont="1" applyFill="1" applyBorder="1" applyAlignment="1" applyProtection="1">
      <alignment horizontal="center" vertical="center" wrapText="1"/>
      <protection locked="0"/>
    </xf>
    <xf numFmtId="0" fontId="14" fillId="10" borderId="31" xfId="0" applyFont="1" applyFill="1" applyBorder="1" applyAlignment="1" applyProtection="1">
      <alignment horizontal="center" vertical="center" wrapText="1"/>
      <protection hidden="1"/>
    </xf>
    <xf numFmtId="0" fontId="8" fillId="4" borderId="4" xfId="2" applyFont="1" applyFill="1" applyBorder="1" applyAlignment="1" applyProtection="1">
      <alignment horizontal="center"/>
      <protection hidden="1"/>
    </xf>
    <xf numFmtId="0" fontId="14" fillId="10" borderId="4" xfId="0" applyFont="1" applyFill="1" applyBorder="1" applyAlignment="1" applyProtection="1">
      <alignment horizontal="center" vertical="center" wrapText="1"/>
      <protection locked="0"/>
    </xf>
    <xf numFmtId="0" fontId="13" fillId="3" borderId="10"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166" fontId="14" fillId="10" borderId="4" xfId="0" applyNumberFormat="1" applyFont="1" applyFill="1" applyBorder="1" applyAlignment="1" applyProtection="1">
      <alignment horizontal="center" vertical="center" wrapText="1"/>
      <protection hidden="1"/>
    </xf>
    <xf numFmtId="0" fontId="14" fillId="20" borderId="10"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2" fillId="2" borderId="0" xfId="2" applyFill="1" applyBorder="1" applyAlignment="1">
      <alignment horizontal="left"/>
    </xf>
    <xf numFmtId="0" fontId="14" fillId="20" borderId="81" xfId="0" applyFont="1" applyFill="1" applyBorder="1" applyAlignment="1" applyProtection="1">
      <alignment horizontal="center" vertical="center" wrapText="1"/>
      <protection locked="0"/>
    </xf>
    <xf numFmtId="166" fontId="14" fillId="20" borderId="10" xfId="0" applyNumberFormat="1"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hidden="1"/>
    </xf>
    <xf numFmtId="0" fontId="2" fillId="4" borderId="4" xfId="4" applyNumberFormat="1" applyFont="1" applyFill="1" applyBorder="1" applyAlignment="1" applyProtection="1">
      <alignment horizontal="center" vertical="center"/>
      <protection hidden="1"/>
    </xf>
    <xf numFmtId="0" fontId="14" fillId="20" borderId="31"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4" fillId="10" borderId="31" xfId="0" applyFont="1" applyFill="1" applyBorder="1" applyAlignment="1" applyProtection="1">
      <alignment horizontal="center" vertical="center" wrapText="1"/>
      <protection hidden="1"/>
    </xf>
    <xf numFmtId="0" fontId="2" fillId="26" borderId="3" xfId="2" applyFill="1" applyBorder="1" applyProtection="1">
      <protection hidden="1"/>
    </xf>
    <xf numFmtId="0" fontId="21" fillId="25" borderId="0" xfId="2" applyFont="1" applyFill="1" applyBorder="1" applyProtection="1">
      <protection hidden="1"/>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129" fillId="6" borderId="0" xfId="0" applyFont="1" applyFill="1" applyBorder="1" applyAlignment="1" applyProtection="1">
      <alignment vertical="center"/>
      <protection hidden="1"/>
    </xf>
    <xf numFmtId="10" fontId="14" fillId="10" borderId="31" xfId="1" applyNumberFormat="1" applyFont="1" applyFill="1" applyBorder="1" applyAlignment="1" applyProtection="1">
      <alignment horizontal="center" vertical="center" wrapText="1"/>
      <protection hidden="1"/>
    </xf>
    <xf numFmtId="0" fontId="0" fillId="2" borderId="0" xfId="0" applyFill="1" applyAlignment="1" applyProtection="1">
      <alignment horizontal="left" vertical="top" wrapText="1"/>
      <protection hidden="1"/>
    </xf>
    <xf numFmtId="0" fontId="0" fillId="2" borderId="0" xfId="0" applyFont="1" applyFill="1" applyAlignment="1" applyProtection="1">
      <alignment horizontal="left" indent="1"/>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101" fillId="2" borderId="0" xfId="0" applyFont="1" applyFill="1" applyAlignment="1" applyProtection="1">
      <alignment horizontal="left" indent="2"/>
      <protection hidden="1"/>
    </xf>
    <xf numFmtId="0" fontId="0" fillId="2" borderId="0" xfId="0" applyFill="1" applyAlignment="1">
      <alignment horizontal="left" indent="1"/>
    </xf>
    <xf numFmtId="0" fontId="0" fillId="2" borderId="0" xfId="0" applyFill="1" applyAlignment="1">
      <alignment horizontal="left" indent="3"/>
    </xf>
    <xf numFmtId="0" fontId="22" fillId="2" borderId="0" xfId="2" applyFont="1" applyFill="1" applyBorder="1" applyAlignment="1">
      <alignment horizontal="left" vertical="center" indent="1"/>
    </xf>
    <xf numFmtId="0" fontId="2" fillId="2" borderId="0" xfId="2" applyFont="1" applyFill="1" applyBorder="1" applyAlignment="1">
      <alignment horizontal="left" indent="1"/>
    </xf>
    <xf numFmtId="0" fontId="66" fillId="2" borderId="0" xfId="0" applyFont="1" applyFill="1" applyAlignment="1">
      <alignment horizontal="left" vertical="center" indent="1"/>
    </xf>
    <xf numFmtId="0" fontId="2" fillId="2" borderId="0" xfId="2" applyFont="1" applyFill="1" applyAlignment="1">
      <alignment horizontal="left" indent="1"/>
    </xf>
    <xf numFmtId="0" fontId="21" fillId="2" borderId="0" xfId="2" applyFont="1" applyFill="1" applyBorder="1" applyAlignment="1" applyProtection="1">
      <alignment horizontal="left" vertical="top" indent="1"/>
      <protection hidden="1"/>
    </xf>
    <xf numFmtId="0" fontId="66" fillId="2" borderId="0" xfId="0" applyFont="1" applyFill="1" applyAlignment="1">
      <alignment horizontal="left" vertical="center" indent="3"/>
    </xf>
    <xf numFmtId="0" fontId="2" fillId="25" borderId="0" xfId="2" applyFill="1" applyBorder="1" applyAlignment="1" applyProtection="1">
      <alignment horizontal="left" indent="5"/>
      <protection hidden="1"/>
    </xf>
    <xf numFmtId="0" fontId="87" fillId="15" borderId="4" xfId="0" applyFont="1" applyFill="1" applyBorder="1" applyAlignment="1">
      <alignment horizontal="center" vertical="center" wrapText="1"/>
    </xf>
    <xf numFmtId="0" fontId="13" fillId="21" borderId="7" xfId="0" applyFont="1" applyFill="1" applyBorder="1" applyAlignment="1" applyProtection="1">
      <alignment horizontal="center" vertical="center" wrapText="1"/>
      <protection hidden="1"/>
    </xf>
    <xf numFmtId="0" fontId="87" fillId="15" borderId="4" xfId="0" applyFont="1" applyFill="1" applyBorder="1" applyAlignment="1">
      <alignment horizontal="center" vertical="center" wrapText="1"/>
    </xf>
    <xf numFmtId="0" fontId="167" fillId="2" borderId="0" xfId="2" applyFont="1" applyFill="1" applyBorder="1" applyAlignment="1" applyProtection="1">
      <alignment horizontal="left" indent="1"/>
      <protection hidden="1"/>
    </xf>
    <xf numFmtId="0" fontId="167" fillId="2" borderId="0" xfId="2" applyFont="1" applyFill="1" applyBorder="1" applyAlignment="1" applyProtection="1">
      <alignment horizontal="left" vertical="center" indent="1"/>
      <protection hidden="1"/>
    </xf>
    <xf numFmtId="0" fontId="28" fillId="2" borderId="0" xfId="3" applyFill="1" applyBorder="1"/>
    <xf numFmtId="0" fontId="50" fillId="3" borderId="8" xfId="0" applyFont="1" applyFill="1" applyBorder="1" applyAlignment="1">
      <alignment horizontal="center" vertical="center" wrapText="1"/>
    </xf>
    <xf numFmtId="0" fontId="82" fillId="2" borderId="0" xfId="0" applyFont="1" applyFill="1" applyProtection="1">
      <protection hidden="1"/>
    </xf>
    <xf numFmtId="0" fontId="106" fillId="2" borderId="0" xfId="0" applyFont="1" applyFill="1" applyProtection="1">
      <protection hidden="1"/>
    </xf>
    <xf numFmtId="0" fontId="83" fillId="2" borderId="0" xfId="0" applyFont="1" applyFill="1" applyProtection="1">
      <protection hidden="1"/>
    </xf>
    <xf numFmtId="0" fontId="83" fillId="2" borderId="0" xfId="0" applyFont="1" applyFill="1" applyAlignment="1" applyProtection="1">
      <alignment horizontal="left" indent="1"/>
      <protection hidden="1"/>
    </xf>
    <xf numFmtId="0" fontId="84" fillId="2" borderId="0" xfId="0" applyFont="1" applyFill="1" applyProtection="1">
      <protection hidden="1"/>
    </xf>
    <xf numFmtId="0" fontId="85" fillId="2" borderId="0" xfId="0" applyFont="1" applyFill="1" applyProtection="1">
      <protection hidden="1"/>
    </xf>
    <xf numFmtId="0" fontId="86" fillId="2" borderId="0" xfId="0" applyFont="1" applyFill="1" applyProtection="1">
      <protection hidden="1"/>
    </xf>
    <xf numFmtId="0" fontId="0" fillId="2" borderId="0" xfId="0" applyFont="1" applyFill="1" applyAlignment="1" applyProtection="1">
      <alignment vertical="top"/>
      <protection hidden="1"/>
    </xf>
    <xf numFmtId="0" fontId="43" fillId="2" borderId="0" xfId="0" applyFont="1" applyFill="1" applyProtection="1">
      <protection hidden="1"/>
    </xf>
    <xf numFmtId="0" fontId="28" fillId="2" borderId="0" xfId="3" applyFont="1" applyFill="1" applyAlignment="1" applyProtection="1">
      <alignment horizontal="left" vertical="top"/>
      <protection hidden="1"/>
    </xf>
    <xf numFmtId="0" fontId="28" fillId="2" borderId="0" xfId="3" applyFont="1" applyFill="1" applyAlignment="1" applyProtection="1">
      <alignment vertical="top"/>
      <protection hidden="1"/>
    </xf>
    <xf numFmtId="0" fontId="0" fillId="2" borderId="0" xfId="0" applyFont="1" applyFill="1" applyAlignment="1" applyProtection="1">
      <alignment horizontal="left" vertical="top" wrapText="1"/>
      <protection hidden="1"/>
    </xf>
    <xf numFmtId="0" fontId="83" fillId="2" borderId="0" xfId="0" applyFont="1" applyFill="1" applyAlignment="1" applyProtection="1">
      <alignment horizontal="left"/>
      <protection hidden="1"/>
    </xf>
    <xf numFmtId="0" fontId="83" fillId="2" borderId="0" xfId="0" applyFont="1" applyFill="1" applyAlignment="1" applyProtection="1">
      <alignment horizontal="left" indent="8"/>
      <protection hidden="1"/>
    </xf>
    <xf numFmtId="0" fontId="83" fillId="2" borderId="0" xfId="0" applyFont="1" applyFill="1" applyAlignment="1" applyProtection="1">
      <alignment horizontal="left" indent="11"/>
      <protection hidden="1"/>
    </xf>
    <xf numFmtId="0" fontId="122" fillId="2" borderId="0" xfId="0" applyFont="1" applyFill="1" applyProtection="1">
      <protection hidden="1"/>
    </xf>
    <xf numFmtId="0" fontId="46" fillId="2" borderId="0" xfId="0" applyFont="1" applyFill="1" applyAlignment="1" applyProtection="1">
      <alignment vertical="center" wrapText="1"/>
      <protection hidden="1"/>
    </xf>
    <xf numFmtId="0" fontId="83" fillId="2" borderId="0" xfId="0" applyFont="1" applyFill="1" applyAlignment="1" applyProtection="1">
      <alignment vertical="center" wrapText="1"/>
      <protection hidden="1"/>
    </xf>
    <xf numFmtId="0" fontId="83" fillId="2" borderId="0" xfId="0" applyFont="1" applyFill="1" applyAlignment="1" applyProtection="1">
      <alignment vertical="center"/>
      <protection hidden="1"/>
    </xf>
    <xf numFmtId="0" fontId="83" fillId="2" borderId="0" xfId="0" applyFont="1" applyFill="1" applyAlignment="1" applyProtection="1">
      <alignment horizontal="left" indent="2"/>
      <protection hidden="1"/>
    </xf>
    <xf numFmtId="0" fontId="66" fillId="2" borderId="0" xfId="0" applyFont="1" applyFill="1" applyAlignment="1" applyProtection="1">
      <alignment vertical="top"/>
      <protection hidden="1"/>
    </xf>
    <xf numFmtId="0" fontId="168" fillId="11" borderId="0" xfId="0" applyFont="1" applyFill="1" applyAlignment="1">
      <alignment vertical="center"/>
    </xf>
    <xf numFmtId="0" fontId="14" fillId="11" borderId="0" xfId="0" applyFont="1" applyFill="1"/>
    <xf numFmtId="0" fontId="21" fillId="2" borderId="0" xfId="2" applyFont="1" applyFill="1" applyBorder="1"/>
    <xf numFmtId="0" fontId="14" fillId="20" borderId="4" xfId="0"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13" fillId="21" borderId="7" xfId="0" applyFont="1" applyFill="1" applyBorder="1" applyAlignment="1" applyProtection="1">
      <alignment horizontal="center" vertical="center"/>
      <protection hidden="1"/>
    </xf>
    <xf numFmtId="0" fontId="13" fillId="16" borderId="7" xfId="0" applyFont="1" applyFill="1" applyBorder="1" applyAlignment="1" applyProtection="1">
      <alignment horizontal="center" vertical="center"/>
      <protection hidden="1"/>
    </xf>
    <xf numFmtId="0" fontId="8" fillId="26" borderId="0" xfId="2" quotePrefix="1" applyFont="1" applyFill="1" applyAlignment="1" applyProtection="1">
      <alignment vertical="center"/>
      <protection hidden="1"/>
    </xf>
    <xf numFmtId="0" fontId="25" fillId="14" borderId="0" xfId="2" applyFont="1" applyFill="1" applyBorder="1" applyAlignment="1" applyProtection="1">
      <alignment horizontal="left" vertical="center" wrapText="1"/>
      <protection hidden="1"/>
    </xf>
    <xf numFmtId="0" fontId="32" fillId="14" borderId="0" xfId="2" applyFont="1" applyFill="1" applyBorder="1" applyAlignment="1" applyProtection="1">
      <alignment horizontal="center" vertical="center" wrapText="1"/>
      <protection hidden="1"/>
    </xf>
    <xf numFmtId="0" fontId="30" fillId="3" borderId="24" xfId="0" applyFont="1" applyFill="1" applyBorder="1" applyAlignment="1" applyProtection="1">
      <alignment horizontal="center" vertical="center" wrapText="1"/>
      <protection hidden="1"/>
    </xf>
    <xf numFmtId="0" fontId="30" fillId="3" borderId="21" xfId="0" applyFont="1" applyFill="1" applyBorder="1" applyAlignment="1" applyProtection="1">
      <alignment horizontal="center" vertical="center" wrapText="1"/>
      <protection hidden="1"/>
    </xf>
    <xf numFmtId="0" fontId="25" fillId="14" borderId="69" xfId="2" applyFont="1" applyFill="1" applyBorder="1" applyAlignment="1" applyProtection="1">
      <alignment vertical="center" wrapText="1"/>
      <protection hidden="1"/>
    </xf>
    <xf numFmtId="0" fontId="32" fillId="14" borderId="68" xfId="2" applyFont="1" applyFill="1" applyBorder="1" applyAlignment="1" applyProtection="1">
      <alignment horizontal="center" vertical="center" wrapText="1"/>
      <protection hidden="1"/>
    </xf>
    <xf numFmtId="0" fontId="25" fillId="14" borderId="70" xfId="2" applyFont="1" applyFill="1" applyBorder="1" applyAlignment="1" applyProtection="1">
      <alignment horizontal="center" vertical="center" wrapText="1"/>
      <protection hidden="1"/>
    </xf>
    <xf numFmtId="0" fontId="25" fillId="14" borderId="71" xfId="2" applyFont="1" applyFill="1" applyBorder="1" applyAlignment="1" applyProtection="1">
      <alignment vertical="center" wrapText="1"/>
      <protection hidden="1"/>
    </xf>
    <xf numFmtId="0" fontId="25" fillId="14" borderId="72" xfId="2" applyFont="1" applyFill="1" applyBorder="1" applyAlignment="1" applyProtection="1">
      <alignment horizontal="center" vertical="center" wrapText="1"/>
      <protection hidden="1"/>
    </xf>
    <xf numFmtId="0" fontId="25" fillId="14" borderId="73" xfId="2" applyFont="1" applyFill="1" applyBorder="1" applyAlignment="1" applyProtection="1">
      <alignment horizontal="left" vertical="center" wrapText="1"/>
      <protection hidden="1"/>
    </xf>
    <xf numFmtId="0" fontId="32" fillId="14" borderId="6" xfId="2" applyFont="1" applyFill="1" applyBorder="1" applyAlignment="1" applyProtection="1">
      <alignment horizontal="center" vertical="center" wrapText="1"/>
      <protection hidden="1"/>
    </xf>
    <xf numFmtId="0" fontId="25" fillId="14" borderId="74" xfId="2" applyFont="1" applyFill="1" applyBorder="1" applyAlignment="1" applyProtection="1">
      <alignment horizontal="center" vertical="center" wrapText="1"/>
      <protection hidden="1"/>
    </xf>
    <xf numFmtId="0" fontId="29" fillId="10" borderId="20" xfId="2" applyFont="1" applyFill="1" applyBorder="1" applyAlignment="1" applyProtection="1">
      <alignment horizontal="center" wrapText="1"/>
      <protection hidden="1"/>
    </xf>
    <xf numFmtId="0" fontId="29" fillId="10" borderId="24" xfId="2" applyFont="1" applyFill="1" applyBorder="1" applyAlignment="1" applyProtection="1">
      <alignment horizontal="center" vertical="center" wrapText="1"/>
      <protection hidden="1"/>
    </xf>
    <xf numFmtId="0" fontId="33" fillId="10" borderId="21" xfId="2" applyFont="1" applyFill="1" applyBorder="1" applyAlignment="1" applyProtection="1">
      <alignment horizontal="center" vertical="center" wrapText="1"/>
      <protection hidden="1"/>
    </xf>
    <xf numFmtId="0" fontId="30" fillId="6" borderId="68" xfId="0" applyFont="1" applyFill="1" applyBorder="1" applyAlignment="1" applyProtection="1">
      <alignment horizontal="center" vertical="center" wrapText="1"/>
      <protection hidden="1"/>
    </xf>
    <xf numFmtId="0" fontId="30" fillId="6" borderId="70" xfId="0" applyFont="1" applyFill="1" applyBorder="1" applyAlignment="1" applyProtection="1">
      <alignment horizontal="center" vertical="center" wrapText="1"/>
      <protection hidden="1"/>
    </xf>
    <xf numFmtId="0" fontId="30" fillId="5" borderId="24" xfId="0" applyFont="1" applyFill="1" applyBorder="1" applyAlignment="1" applyProtection="1">
      <alignment horizontal="center" vertical="center" wrapText="1"/>
      <protection hidden="1"/>
    </xf>
    <xf numFmtId="0" fontId="30" fillId="5" borderId="21" xfId="0" applyFont="1" applyFill="1" applyBorder="1" applyAlignment="1" applyProtection="1">
      <alignment horizontal="center" vertical="center" wrapText="1"/>
      <protection hidden="1"/>
    </xf>
    <xf numFmtId="0" fontId="25" fillId="14" borderId="69" xfId="2" applyFont="1" applyFill="1" applyBorder="1" applyAlignment="1" applyProtection="1">
      <alignment horizontal="left" vertical="center" wrapText="1"/>
      <protection hidden="1"/>
    </xf>
    <xf numFmtId="0" fontId="25" fillId="14" borderId="71" xfId="2" applyFont="1" applyFill="1" applyBorder="1" applyAlignment="1" applyProtection="1">
      <alignment horizontal="left" vertical="center" wrapText="1"/>
      <protection hidden="1"/>
    </xf>
    <xf numFmtId="0" fontId="30" fillId="16" borderId="24" xfId="0" applyFont="1" applyFill="1" applyBorder="1" applyAlignment="1" applyProtection="1">
      <alignment horizontal="center" vertical="center" wrapText="1"/>
      <protection hidden="1"/>
    </xf>
    <xf numFmtId="0" fontId="30" fillId="16" borderId="21" xfId="0" applyFont="1" applyFill="1" applyBorder="1" applyAlignment="1" applyProtection="1">
      <alignment horizontal="center" vertical="center" wrapText="1"/>
      <protection hidden="1"/>
    </xf>
    <xf numFmtId="0" fontId="30" fillId="21" borderId="24" xfId="0" applyFont="1" applyFill="1" applyBorder="1" applyAlignment="1" applyProtection="1">
      <alignment horizontal="center" vertical="center" wrapText="1"/>
      <protection hidden="1"/>
    </xf>
    <xf numFmtId="0" fontId="30" fillId="21" borderId="21" xfId="0" applyFont="1" applyFill="1" applyBorder="1" applyAlignment="1" applyProtection="1">
      <alignment horizontal="center" vertical="center" wrapText="1"/>
      <protection hidden="1"/>
    </xf>
    <xf numFmtId="0" fontId="108" fillId="2" borderId="0" xfId="2" applyFont="1" applyFill="1" applyAlignment="1" applyProtection="1">
      <alignment vertical="center"/>
      <protection hidden="1"/>
    </xf>
    <xf numFmtId="0" fontId="108" fillId="2" borderId="26" xfId="2" applyFont="1" applyFill="1" applyBorder="1" applyAlignment="1" applyProtection="1">
      <alignment vertical="center"/>
      <protection hidden="1"/>
    </xf>
    <xf numFmtId="0" fontId="32" fillId="14" borderId="0" xfId="2"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3" fillId="3" borderId="7"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13" fillId="13" borderId="7" xfId="0" applyFont="1" applyFill="1" applyBorder="1" applyAlignment="1" applyProtection="1">
      <alignment horizontal="center" vertical="center"/>
      <protection hidden="1"/>
    </xf>
    <xf numFmtId="0" fontId="13" fillId="3" borderId="7" xfId="0" applyFont="1" applyFill="1" applyBorder="1" applyAlignment="1" applyProtection="1">
      <alignment horizontal="center" vertical="center"/>
      <protection hidden="1"/>
    </xf>
    <xf numFmtId="0" fontId="30" fillId="13" borderId="24" xfId="0" applyFont="1" applyFill="1" applyBorder="1" applyAlignment="1" applyProtection="1">
      <alignment horizontal="center" vertical="center" wrapText="1"/>
      <protection hidden="1"/>
    </xf>
    <xf numFmtId="0" fontId="30" fillId="13" borderId="21" xfId="0" applyFont="1" applyFill="1" applyBorder="1" applyAlignment="1" applyProtection="1">
      <alignment horizontal="center" vertical="center" wrapText="1"/>
      <protection hidden="1"/>
    </xf>
    <xf numFmtId="0" fontId="30" fillId="7" borderId="24" xfId="0" applyFont="1" applyFill="1" applyBorder="1" applyAlignment="1" applyProtection="1">
      <alignment horizontal="center" vertical="center" wrapText="1"/>
      <protection hidden="1"/>
    </xf>
    <xf numFmtId="0" fontId="30" fillId="7" borderId="21" xfId="0" applyFont="1" applyFill="1" applyBorder="1" applyAlignment="1" applyProtection="1">
      <alignment horizontal="center" vertical="center" wrapText="1"/>
      <protection hidden="1"/>
    </xf>
    <xf numFmtId="0" fontId="13" fillId="5" borderId="7" xfId="0" applyFont="1" applyFill="1" applyBorder="1" applyAlignment="1" applyProtection="1">
      <alignment horizontal="center" vertical="center"/>
      <protection hidden="1"/>
    </xf>
    <xf numFmtId="2" fontId="2" fillId="32" borderId="31" xfId="2" applyNumberFormat="1" applyFont="1" applyFill="1" applyBorder="1" applyAlignment="1" applyProtection="1">
      <alignment horizontal="center" vertical="center"/>
      <protection hidden="1"/>
    </xf>
    <xf numFmtId="0" fontId="172" fillId="11" borderId="0" xfId="0" applyFont="1" applyFill="1" applyAlignment="1">
      <alignment vertical="center"/>
    </xf>
    <xf numFmtId="0" fontId="19" fillId="11" borderId="128" xfId="0" applyFont="1" applyFill="1" applyBorder="1"/>
    <xf numFmtId="0" fontId="0" fillId="11" borderId="129" xfId="0" applyFill="1" applyBorder="1"/>
    <xf numFmtId="0" fontId="0" fillId="11" borderId="130" xfId="0" applyFill="1" applyBorder="1"/>
    <xf numFmtId="0" fontId="19" fillId="11" borderId="131" xfId="0" applyFont="1" applyFill="1" applyBorder="1"/>
    <xf numFmtId="0" fontId="0" fillId="11" borderId="0" xfId="0" applyFill="1" applyBorder="1"/>
    <xf numFmtId="0" fontId="0" fillId="11" borderId="132" xfId="0" applyFill="1" applyBorder="1"/>
    <xf numFmtId="0" fontId="19" fillId="11" borderId="133" xfId="0" applyFont="1" applyFill="1" applyBorder="1"/>
    <xf numFmtId="0" fontId="0" fillId="11" borderId="134" xfId="0" applyFill="1" applyBorder="1"/>
    <xf numFmtId="0" fontId="0" fillId="11" borderId="135" xfId="0" applyFill="1" applyBorder="1"/>
    <xf numFmtId="0" fontId="19" fillId="11" borderId="136" xfId="0" applyFont="1" applyFill="1" applyBorder="1"/>
    <xf numFmtId="0" fontId="19" fillId="11" borderId="137" xfId="0" applyFont="1" applyFill="1" applyBorder="1"/>
    <xf numFmtId="0" fontId="19" fillId="11" borderId="138" xfId="0" applyFont="1" applyFill="1" applyBorder="1"/>
    <xf numFmtId="0" fontId="19" fillId="11" borderId="139" xfId="0" applyFont="1" applyFill="1" applyBorder="1"/>
    <xf numFmtId="0" fontId="19" fillId="11" borderId="140" xfId="0" applyFont="1" applyFill="1" applyBorder="1"/>
    <xf numFmtId="0" fontId="19" fillId="11" borderId="141" xfId="0" applyFont="1" applyFill="1" applyBorder="1"/>
    <xf numFmtId="0" fontId="19" fillId="11" borderId="142" xfId="0" applyFont="1" applyFill="1" applyBorder="1"/>
    <xf numFmtId="0" fontId="19" fillId="11" borderId="143" xfId="0" applyFont="1" applyFill="1" applyBorder="1"/>
    <xf numFmtId="0" fontId="173" fillId="11" borderId="0" xfId="0" applyFont="1" applyFill="1" applyAlignment="1">
      <alignment vertical="center"/>
    </xf>
    <xf numFmtId="0" fontId="0" fillId="11" borderId="68" xfId="0" applyFill="1" applyBorder="1"/>
    <xf numFmtId="0" fontId="0" fillId="11" borderId="70" xfId="0" applyFill="1" applyBorder="1"/>
    <xf numFmtId="0" fontId="0" fillId="11" borderId="72" xfId="0" applyFill="1" applyBorder="1"/>
    <xf numFmtId="0" fontId="0" fillId="11" borderId="6" xfId="0" applyFill="1" applyBorder="1"/>
    <xf numFmtId="0" fontId="0" fillId="11" borderId="74" xfId="0" applyFill="1" applyBorder="1"/>
    <xf numFmtId="0" fontId="8" fillId="11" borderId="0" xfId="0" applyFont="1" applyFill="1"/>
    <xf numFmtId="0" fontId="2" fillId="2" borderId="0" xfId="2" applyFill="1" applyAlignment="1" applyProtection="1">
      <alignment vertical="center"/>
      <protection hidden="1"/>
    </xf>
    <xf numFmtId="0" fontId="2" fillId="2" borderId="0" xfId="2" applyFill="1" applyAlignment="1" applyProtection="1">
      <alignment horizontal="left" indent="13"/>
      <protection hidden="1"/>
    </xf>
    <xf numFmtId="0" fontId="14" fillId="20" borderId="10" xfId="0" applyFont="1" applyFill="1" applyBorder="1" applyAlignment="1" applyProtection="1">
      <alignment horizontal="center" vertical="center" wrapText="1"/>
      <protection locked="0"/>
    </xf>
    <xf numFmtId="166" fontId="14" fillId="20" borderId="4" xfId="0" applyNumberFormat="1" applyFont="1" applyFill="1" applyBorder="1" applyAlignment="1" applyProtection="1">
      <alignment horizontal="center" vertical="center" wrapText="1"/>
      <protection locked="0"/>
    </xf>
    <xf numFmtId="0" fontId="14" fillId="20" borderId="4" xfId="0" applyFont="1" applyFill="1" applyBorder="1" applyAlignment="1" applyProtection="1">
      <alignment horizontal="center" vertical="center" wrapText="1"/>
      <protection locked="0"/>
    </xf>
    <xf numFmtId="0" fontId="2" fillId="10" borderId="69" xfId="2" applyFill="1" applyBorder="1" applyAlignment="1" applyProtection="1">
      <alignment horizontal="left" indent="6"/>
      <protection hidden="1"/>
    </xf>
    <xf numFmtId="0" fontId="2" fillId="10" borderId="68" xfId="2" applyFill="1" applyBorder="1" applyAlignment="1" applyProtection="1">
      <alignment horizontal="left" indent="1"/>
      <protection hidden="1"/>
    </xf>
    <xf numFmtId="0" fontId="2" fillId="10" borderId="70" xfId="2" applyFill="1" applyBorder="1" applyAlignment="1" applyProtection="1">
      <alignment horizontal="left" indent="1"/>
      <protection hidden="1"/>
    </xf>
    <xf numFmtId="0" fontId="50" fillId="21" borderId="7" xfId="0" applyFont="1" applyFill="1" applyBorder="1" applyAlignment="1">
      <alignment horizontal="center" vertical="center" wrapText="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2" fillId="20" borderId="31" xfId="2" applyFont="1" applyFill="1" applyBorder="1" applyAlignment="1" applyProtection="1">
      <alignment horizontal="center" vertical="center"/>
      <protection locked="0"/>
    </xf>
    <xf numFmtId="0" fontId="2" fillId="20" borderId="4" xfId="2" applyFont="1" applyFill="1" applyBorder="1" applyAlignment="1" applyProtection="1">
      <alignment horizontal="center" vertical="center"/>
      <protection locked="0"/>
    </xf>
    <xf numFmtId="0" fontId="19" fillId="0" borderId="0" xfId="0" applyFont="1"/>
    <xf numFmtId="0" fontId="2" fillId="20" borderId="31" xfId="2" applyFont="1" applyFill="1" applyBorder="1" applyAlignment="1" applyProtection="1">
      <alignment horizontal="center" vertical="center"/>
      <protection locked="0"/>
    </xf>
    <xf numFmtId="0" fontId="2" fillId="20" borderId="4" xfId="2" applyFont="1" applyFill="1" applyBorder="1" applyAlignment="1" applyProtection="1">
      <alignment horizontal="center" vertical="center"/>
      <protection locked="0"/>
    </xf>
    <xf numFmtId="0" fontId="14" fillId="15" borderId="4" xfId="0" applyFont="1" applyFill="1" applyBorder="1" applyAlignment="1">
      <alignment horizontal="center" vertical="center" wrapText="1"/>
    </xf>
    <xf numFmtId="0" fontId="14" fillId="15" borderId="31" xfId="0" applyFont="1" applyFill="1" applyBorder="1" applyAlignment="1">
      <alignment horizontal="center" vertical="center" wrapText="1"/>
    </xf>
    <xf numFmtId="0" fontId="2" fillId="10" borderId="31" xfId="2" applyFont="1" applyFill="1" applyBorder="1" applyAlignment="1" applyProtection="1">
      <alignment horizontal="center" vertical="center"/>
      <protection hidden="1"/>
    </xf>
    <xf numFmtId="0" fontId="19" fillId="0" borderId="0" xfId="0" applyFont="1"/>
    <xf numFmtId="0" fontId="22" fillId="2" borderId="0" xfId="2" applyFont="1" applyFill="1" applyAlignment="1">
      <alignment vertical="center"/>
    </xf>
    <xf numFmtId="169" fontId="2" fillId="10" borderId="31" xfId="2" applyNumberFormat="1" applyFont="1" applyFill="1" applyBorder="1" applyAlignment="1" applyProtection="1">
      <alignment horizontal="center" vertical="center"/>
      <protection hidden="1"/>
    </xf>
    <xf numFmtId="169" fontId="2" fillId="10" borderId="4" xfId="2" applyNumberFormat="1" applyFont="1" applyFill="1" applyBorder="1" applyAlignment="1" applyProtection="1">
      <alignment horizontal="center" vertical="center"/>
      <protection hidden="1"/>
    </xf>
    <xf numFmtId="2" fontId="2" fillId="10" borderId="4" xfId="2" applyNumberFormat="1" applyFont="1" applyFill="1" applyBorder="1" applyAlignment="1" applyProtection="1">
      <alignment horizontal="center" vertical="center"/>
      <protection hidden="1"/>
    </xf>
    <xf numFmtId="0" fontId="19" fillId="0" borderId="0" xfId="0" applyFont="1" applyProtection="1">
      <protection hidden="1"/>
    </xf>
    <xf numFmtId="0" fontId="19" fillId="0" borderId="0" xfId="0" applyFont="1"/>
    <xf numFmtId="0" fontId="13" fillId="6" borderId="77" xfId="0" applyFont="1" applyFill="1" applyBorder="1" applyAlignment="1" applyProtection="1">
      <alignment horizontal="center" vertical="center" wrapText="1"/>
      <protection hidden="1"/>
    </xf>
    <xf numFmtId="0" fontId="8" fillId="11" borderId="110" xfId="3" applyFont="1" applyFill="1" applyBorder="1" applyAlignment="1">
      <alignment vertical="center"/>
    </xf>
    <xf numFmtId="0" fontId="8" fillId="11" borderId="0" xfId="3" applyFont="1" applyFill="1" applyBorder="1" applyAlignment="1">
      <alignment vertical="center"/>
    </xf>
    <xf numFmtId="0" fontId="13" fillId="21" borderId="7" xfId="0" applyFont="1" applyFill="1" applyBorder="1" applyAlignment="1" applyProtection="1">
      <alignment horizontal="center" vertical="center"/>
      <protection hidden="1"/>
    </xf>
    <xf numFmtId="0" fontId="14" fillId="20" borderId="4" xfId="0" applyFont="1" applyFill="1" applyBorder="1" applyAlignment="1" applyProtection="1">
      <alignment horizontal="center" vertical="center" wrapText="1"/>
      <protection locked="0"/>
    </xf>
    <xf numFmtId="0" fontId="22" fillId="11" borderId="1" xfId="2" applyFont="1" applyFill="1" applyBorder="1" applyAlignment="1" applyProtection="1">
      <alignment horizontal="center" vertical="center"/>
      <protection hidden="1"/>
    </xf>
    <xf numFmtId="0" fontId="14" fillId="20" borderId="32" xfId="0"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protection hidden="1"/>
    </xf>
    <xf numFmtId="166" fontId="14" fillId="20" borderId="4" xfId="0" applyNumberFormat="1" applyFont="1" applyFill="1" applyBorder="1" applyAlignment="1" applyProtection="1">
      <alignment horizontal="center" vertical="center" wrapText="1"/>
      <protection locked="0"/>
    </xf>
    <xf numFmtId="0" fontId="6" fillId="9" borderId="4" xfId="2" applyFont="1" applyFill="1" applyBorder="1" applyAlignment="1" applyProtection="1">
      <alignment horizontal="center" vertical="center" wrapText="1"/>
      <protection hidden="1"/>
    </xf>
    <xf numFmtId="0" fontId="22" fillId="2" borderId="0" xfId="2" applyFont="1" applyFill="1" applyBorder="1" applyAlignment="1" applyProtection="1">
      <alignment horizontal="left" indent="5"/>
      <protection hidden="1"/>
    </xf>
    <xf numFmtId="0" fontId="2" fillId="10" borderId="0" xfId="2" applyFont="1" applyFill="1" applyBorder="1"/>
    <xf numFmtId="0" fontId="2" fillId="10" borderId="0" xfId="2" applyFont="1" applyFill="1"/>
    <xf numFmtId="0" fontId="176" fillId="10" borderId="0" xfId="3" applyFont="1" applyFill="1" applyAlignment="1" applyProtection="1">
      <alignment horizontal="center" vertical="center"/>
      <protection hidden="1"/>
    </xf>
    <xf numFmtId="3" fontId="14" fillId="20" borderId="4" xfId="0" applyNumberFormat="1" applyFont="1" applyFill="1" applyBorder="1" applyAlignment="1" applyProtection="1">
      <alignment horizontal="center" vertical="center"/>
      <protection locked="0"/>
    </xf>
    <xf numFmtId="0" fontId="14" fillId="20" borderId="4" xfId="0" applyFont="1" applyFill="1" applyBorder="1" applyAlignment="1" applyProtection="1">
      <alignment horizontal="center" vertical="center" wrapText="1"/>
      <protection locked="0"/>
    </xf>
    <xf numFmtId="0" fontId="14" fillId="20" borderId="31" xfId="0" applyFont="1" applyFill="1" applyBorder="1" applyAlignment="1" applyProtection="1">
      <alignment horizontal="center" vertical="center" wrapText="1"/>
      <protection locked="0"/>
    </xf>
    <xf numFmtId="0" fontId="13" fillId="6" borderId="0" xfId="0" applyFont="1" applyFill="1" applyBorder="1" applyAlignment="1" applyProtection="1">
      <alignment horizontal="center" vertical="center"/>
      <protection hidden="1"/>
    </xf>
    <xf numFmtId="0" fontId="13" fillId="6" borderId="7" xfId="0" applyFont="1" applyFill="1" applyBorder="1" applyAlignment="1" applyProtection="1">
      <alignment horizontal="center" vertical="center"/>
      <protection hidden="1"/>
    </xf>
    <xf numFmtId="166" fontId="14" fillId="20" borderId="4" xfId="0" applyNumberFormat="1" applyFont="1" applyFill="1" applyBorder="1" applyAlignment="1" applyProtection="1">
      <alignment horizontal="center" vertical="center" wrapText="1"/>
      <protection locked="0"/>
    </xf>
    <xf numFmtId="0" fontId="22" fillId="2" borderId="0" xfId="0" applyFont="1" applyFill="1" applyBorder="1" applyAlignment="1" applyProtection="1">
      <alignment horizontal="left" vertical="center" wrapText="1"/>
      <protection hidden="1"/>
    </xf>
    <xf numFmtId="0" fontId="2" fillId="34" borderId="0" xfId="2" applyFill="1" applyProtection="1">
      <protection hidden="1"/>
    </xf>
    <xf numFmtId="0" fontId="8" fillId="10" borderId="63" xfId="2" quotePrefix="1" applyFont="1" applyFill="1" applyBorder="1" applyAlignment="1" applyProtection="1">
      <alignment horizontal="left" vertical="center" indent="7"/>
      <protection hidden="1"/>
    </xf>
    <xf numFmtId="0" fontId="2" fillId="10" borderId="72" xfId="2" applyFont="1" applyFill="1" applyBorder="1" applyProtection="1">
      <protection hidden="1"/>
    </xf>
    <xf numFmtId="0" fontId="8" fillId="10" borderId="71" xfId="2" quotePrefix="1" applyFont="1" applyFill="1" applyBorder="1" applyAlignment="1" applyProtection="1">
      <alignment horizontal="left" vertical="center" indent="7"/>
      <protection hidden="1"/>
    </xf>
    <xf numFmtId="0" fontId="8" fillId="34" borderId="0" xfId="2" quotePrefix="1" applyFont="1" applyFill="1" applyAlignment="1" applyProtection="1">
      <alignment vertical="center"/>
      <protection hidden="1"/>
    </xf>
    <xf numFmtId="0" fontId="13" fillId="6" borderId="7" xfId="0" applyFont="1" applyFill="1" applyBorder="1" applyAlignment="1" applyProtection="1">
      <alignment horizontal="center" vertical="center" wrapText="1"/>
      <protection hidden="1"/>
    </xf>
    <xf numFmtId="0" fontId="13" fillId="7" borderId="7" xfId="0" applyFont="1" applyFill="1" applyBorder="1" applyAlignment="1" applyProtection="1">
      <alignment horizontal="center" vertical="center"/>
      <protection hidden="1"/>
    </xf>
    <xf numFmtId="0" fontId="179" fillId="11" borderId="0" xfId="0" applyFont="1" applyFill="1" applyAlignment="1">
      <alignment vertical="center"/>
    </xf>
    <xf numFmtId="0" fontId="19" fillId="11" borderId="72" xfId="0" applyFont="1" applyFill="1" applyBorder="1"/>
    <xf numFmtId="0" fontId="180" fillId="11" borderId="0" xfId="0" applyFont="1" applyFill="1" applyBorder="1" applyAlignment="1">
      <alignment horizontal="justify" vertical="center" wrapText="1"/>
    </xf>
    <xf numFmtId="0" fontId="19" fillId="11" borderId="15" xfId="0" applyFont="1" applyFill="1" applyBorder="1" applyAlignment="1">
      <alignment horizontal="left" vertical="center"/>
    </xf>
    <xf numFmtId="0" fontId="177" fillId="11" borderId="0" xfId="0" applyFont="1" applyFill="1" applyAlignment="1">
      <alignment vertical="center"/>
    </xf>
    <xf numFmtId="0" fontId="0" fillId="0" borderId="71" xfId="0" applyBorder="1" applyProtection="1">
      <protection hidden="1"/>
    </xf>
    <xf numFmtId="0" fontId="0" fillId="0" borderId="0" xfId="0" applyBorder="1" applyProtection="1">
      <protection hidden="1"/>
    </xf>
    <xf numFmtId="0" fontId="83" fillId="0" borderId="72" xfId="0" applyFont="1" applyBorder="1" applyProtection="1">
      <protection hidden="1"/>
    </xf>
    <xf numFmtId="0" fontId="0" fillId="7" borderId="0" xfId="0" applyFill="1" applyBorder="1" applyProtection="1">
      <protection hidden="1"/>
    </xf>
    <xf numFmtId="0" fontId="0" fillId="0" borderId="72" xfId="0" applyBorder="1" applyProtection="1">
      <protection hidden="1"/>
    </xf>
    <xf numFmtId="0" fontId="0" fillId="0" borderId="71" xfId="0" applyFill="1" applyBorder="1" applyProtection="1">
      <protection hidden="1"/>
    </xf>
    <xf numFmtId="0" fontId="22" fillId="2" borderId="0" xfId="2" applyFont="1" applyFill="1" applyBorder="1" applyAlignment="1" applyProtection="1">
      <alignment vertical="center"/>
      <protection hidden="1"/>
    </xf>
    <xf numFmtId="0" fontId="21" fillId="2" borderId="0" xfId="0" applyFont="1" applyFill="1" applyBorder="1" applyAlignment="1" applyProtection="1">
      <alignment vertical="center" wrapText="1"/>
      <protection hidden="1"/>
    </xf>
    <xf numFmtId="0" fontId="0" fillId="0" borderId="73" xfId="0" applyBorder="1" applyProtection="1">
      <protection hidden="1"/>
    </xf>
    <xf numFmtId="0" fontId="0" fillId="0" borderId="6" xfId="0" applyBorder="1" applyProtection="1">
      <protection hidden="1"/>
    </xf>
    <xf numFmtId="0" fontId="83" fillId="0" borderId="74" xfId="0" applyFont="1" applyBorder="1" applyProtection="1">
      <protection hidden="1"/>
    </xf>
    <xf numFmtId="0" fontId="2" fillId="2" borderId="0" xfId="2" applyFill="1" applyAlignment="1" applyProtection="1">
      <alignment horizontal="left" indent="6"/>
      <protection hidden="1"/>
    </xf>
    <xf numFmtId="0" fontId="2" fillId="2" borderId="0" xfId="2" applyFill="1" applyBorder="1" applyAlignment="1" applyProtection="1">
      <alignment horizontal="left" vertical="center" indent="6"/>
      <protection hidden="1"/>
    </xf>
    <xf numFmtId="0" fontId="2" fillId="2" borderId="0" xfId="2" applyFill="1" applyBorder="1" applyAlignment="1" applyProtection="1">
      <alignment horizontal="left" vertical="center" indent="5"/>
      <protection hidden="1"/>
    </xf>
    <xf numFmtId="0" fontId="14" fillId="20" borderId="31" xfId="0" applyNumberFormat="1" applyFont="1" applyFill="1" applyBorder="1" applyAlignment="1" applyProtection="1">
      <alignment horizontal="center" vertical="center" wrapText="1"/>
      <protection locked="0"/>
    </xf>
    <xf numFmtId="0" fontId="14" fillId="10" borderId="4" xfId="0" applyFont="1" applyFill="1" applyBorder="1" applyAlignment="1" applyProtection="1">
      <alignment horizontal="center" vertical="center"/>
      <protection hidden="1"/>
    </xf>
    <xf numFmtId="166" fontId="14" fillId="10" borderId="81" xfId="0" applyNumberFormat="1" applyFont="1" applyFill="1" applyBorder="1" applyAlignment="1" applyProtection="1">
      <alignment horizontal="center" vertical="center" wrapText="1"/>
      <protection hidden="1"/>
    </xf>
    <xf numFmtId="0" fontId="0" fillId="7" borderId="0" xfId="0" applyFill="1" applyProtection="1">
      <protection hidden="1"/>
    </xf>
    <xf numFmtId="0" fontId="14" fillId="20" borderId="4" xfId="0" applyFont="1" applyFill="1" applyBorder="1" applyAlignment="1" applyProtection="1">
      <alignment horizontal="center" vertical="center" wrapText="1"/>
      <protection locked="0"/>
    </xf>
    <xf numFmtId="0" fontId="6" fillId="9" borderId="4" xfId="2"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0" fontId="13" fillId="6" borderId="7" xfId="0" applyFont="1" applyFill="1" applyBorder="1" applyAlignment="1" applyProtection="1">
      <alignment horizontal="center" vertical="center"/>
      <protection hidden="1"/>
    </xf>
    <xf numFmtId="0" fontId="6" fillId="9" borderId="4" xfId="2" applyFont="1" applyFill="1" applyBorder="1" applyAlignment="1" applyProtection="1">
      <alignment horizontal="center" vertical="center" wrapText="1"/>
      <protection hidden="1"/>
    </xf>
    <xf numFmtId="0" fontId="22" fillId="2" borderId="0" xfId="0" applyFont="1" applyFill="1" applyBorder="1" applyAlignment="1" applyProtection="1">
      <alignment horizontal="left" vertical="center" wrapText="1"/>
      <protection hidden="1"/>
    </xf>
    <xf numFmtId="0" fontId="181" fillId="2" borderId="0" xfId="0" applyFont="1" applyFill="1" applyAlignment="1">
      <alignment horizontal="left" vertical="center" indent="1"/>
    </xf>
    <xf numFmtId="0" fontId="2" fillId="4" borderId="4" xfId="0" applyFont="1" applyFill="1" applyBorder="1" applyAlignment="1">
      <alignment vertical="center"/>
    </xf>
    <xf numFmtId="165" fontId="8" fillId="4" borderId="4" xfId="1" applyNumberFormat="1" applyFont="1" applyFill="1" applyBorder="1" applyAlignment="1" applyProtection="1">
      <alignment horizontal="center" vertical="center" wrapText="1"/>
      <protection hidden="1"/>
    </xf>
    <xf numFmtId="164" fontId="8" fillId="4" borderId="4" xfId="1" applyNumberFormat="1" applyFont="1" applyFill="1" applyBorder="1" applyAlignment="1" applyProtection="1">
      <alignment horizontal="center" vertical="center" wrapText="1"/>
      <protection hidden="1"/>
    </xf>
    <xf numFmtId="2" fontId="8" fillId="4" borderId="4" xfId="1" applyNumberFormat="1" applyFont="1" applyFill="1" applyBorder="1" applyAlignment="1" applyProtection="1">
      <alignment horizontal="center" vertical="center" wrapText="1"/>
      <protection hidden="1"/>
    </xf>
    <xf numFmtId="0" fontId="8" fillId="4" borderId="4" xfId="1" applyNumberFormat="1" applyFont="1" applyFill="1" applyBorder="1" applyAlignment="1" applyProtection="1">
      <alignment horizontal="center" vertical="center" wrapText="1"/>
      <protection hidden="1"/>
    </xf>
    <xf numFmtId="0" fontId="125" fillId="11" borderId="0" xfId="0" applyFont="1" applyFill="1" applyAlignment="1" applyProtection="1">
      <alignment horizontal="center" vertical="center"/>
      <protection hidden="1"/>
    </xf>
    <xf numFmtId="0" fontId="66" fillId="11" borderId="0" xfId="0" applyFont="1" applyFill="1" applyAlignment="1" applyProtection="1">
      <alignment horizontal="left" indent="1"/>
      <protection hidden="1"/>
    </xf>
    <xf numFmtId="0" fontId="14" fillId="11" borderId="0" xfId="0" applyFont="1" applyFill="1" applyAlignment="1">
      <alignment horizontal="left" vertical="center" wrapText="1"/>
    </xf>
    <xf numFmtId="0" fontId="5" fillId="6" borderId="0" xfId="0" applyFont="1" applyFill="1" applyAlignment="1" applyProtection="1">
      <alignment horizontal="left" vertical="center" indent="1"/>
      <protection hidden="1"/>
    </xf>
    <xf numFmtId="0" fontId="180" fillId="11" borderId="0" xfId="0" applyFont="1" applyFill="1" applyBorder="1" applyAlignment="1">
      <alignment horizontal="justify" vertical="center" wrapText="1"/>
    </xf>
    <xf numFmtId="0" fontId="8" fillId="0" borderId="0" xfId="3" applyFont="1" applyAlignment="1">
      <alignment vertical="center" wrapText="1"/>
    </xf>
    <xf numFmtId="0" fontId="9" fillId="6" borderId="0" xfId="0" applyFont="1" applyFill="1" applyBorder="1" applyAlignment="1" applyProtection="1">
      <alignment horizontal="left" vertical="center" indent="1"/>
      <protection hidden="1"/>
    </xf>
    <xf numFmtId="0" fontId="0" fillId="2" borderId="0" xfId="0" applyFill="1" applyAlignment="1">
      <alignment horizontal="left" vertical="center" wrapText="1" indent="3"/>
    </xf>
    <xf numFmtId="0" fontId="28" fillId="6" borderId="0" xfId="3" applyFont="1" applyFill="1" applyAlignment="1" applyProtection="1">
      <alignment horizontal="left"/>
      <protection hidden="1"/>
    </xf>
    <xf numFmtId="0" fontId="131" fillId="6" borderId="0" xfId="0" applyFont="1" applyFill="1" applyBorder="1" applyAlignment="1" applyProtection="1">
      <alignment horizontal="center" vertical="center"/>
      <protection hidden="1"/>
    </xf>
    <xf numFmtId="0" fontId="140" fillId="2" borderId="0" xfId="0" applyFont="1" applyFill="1" applyAlignment="1" applyProtection="1">
      <alignment horizontal="left" vertical="top" wrapText="1"/>
      <protection hidden="1"/>
    </xf>
    <xf numFmtId="0" fontId="0" fillId="2" borderId="0" xfId="0" applyFill="1" applyAlignment="1" applyProtection="1">
      <alignment horizontal="left" vertical="top" wrapText="1"/>
      <protection hidden="1"/>
    </xf>
    <xf numFmtId="0" fontId="80" fillId="6" borderId="0" xfId="0" applyFont="1" applyFill="1" applyAlignment="1" applyProtection="1">
      <alignment horizontal="left"/>
      <protection hidden="1"/>
    </xf>
    <xf numFmtId="0" fontId="130" fillId="6" borderId="0" xfId="0" applyFont="1" applyFill="1" applyBorder="1" applyAlignment="1" applyProtection="1">
      <alignment horizontal="left" vertical="center" indent="1"/>
      <protection hidden="1"/>
    </xf>
    <xf numFmtId="0" fontId="79" fillId="6" borderId="0" xfId="0" applyFont="1" applyFill="1" applyBorder="1" applyAlignment="1" applyProtection="1">
      <alignment horizontal="left" vertical="center" indent="1"/>
      <protection hidden="1"/>
    </xf>
    <xf numFmtId="0" fontId="149" fillId="2" borderId="0" xfId="0" applyFont="1" applyFill="1" applyAlignment="1" applyProtection="1">
      <alignment horizontal="left" vertical="top" wrapText="1"/>
      <protection hidden="1"/>
    </xf>
    <xf numFmtId="0" fontId="0" fillId="2" borderId="0" xfId="0" applyFont="1" applyFill="1" applyBorder="1" applyAlignment="1">
      <alignment horizontal="left" vertical="center" wrapText="1" indent="1"/>
    </xf>
    <xf numFmtId="0" fontId="0" fillId="2" borderId="0" xfId="0" applyFill="1" applyBorder="1" applyAlignment="1">
      <alignment horizontal="left" vertical="center" wrapText="1"/>
    </xf>
    <xf numFmtId="0" fontId="0" fillId="2" borderId="0" xfId="0" applyFont="1" applyFill="1" applyBorder="1" applyAlignment="1">
      <alignment horizontal="left" vertical="center" wrapText="1"/>
    </xf>
    <xf numFmtId="0" fontId="0" fillId="2" borderId="0" xfId="0" applyFont="1" applyFill="1" applyAlignment="1" applyProtection="1">
      <alignment horizontal="left" vertical="top" wrapText="1" inden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horizontal="left" vertical="top"/>
      <protection hidden="1"/>
    </xf>
    <xf numFmtId="0" fontId="83" fillId="2" borderId="0" xfId="0" applyFont="1" applyFill="1" applyBorder="1" applyAlignment="1">
      <alignment horizontal="left" vertical="center" wrapText="1" indent="2"/>
    </xf>
    <xf numFmtId="0" fontId="140" fillId="2" borderId="0" xfId="0" applyFont="1" applyFill="1" applyAlignment="1" applyProtection="1">
      <alignment horizontal="left" vertical="center" wrapText="1"/>
      <protection hidden="1"/>
    </xf>
    <xf numFmtId="0" fontId="0" fillId="2" borderId="0" xfId="0" applyFill="1" applyBorder="1" applyAlignment="1">
      <alignment horizontal="left" vertical="center" wrapText="1" indent="2"/>
    </xf>
    <xf numFmtId="0" fontId="0" fillId="2" borderId="0" xfId="0" applyFont="1" applyFill="1" applyBorder="1" applyAlignment="1">
      <alignment vertical="center" wrapText="1"/>
    </xf>
    <xf numFmtId="0" fontId="0" fillId="2" borderId="0" xfId="0" applyFont="1" applyFill="1" applyAlignment="1" applyProtection="1">
      <alignment horizontal="left" indent="1"/>
      <protection hidden="1"/>
    </xf>
    <xf numFmtId="0" fontId="46" fillId="2" borderId="0" xfId="0" applyFont="1" applyFill="1" applyAlignment="1" applyProtection="1">
      <alignment horizontal="left" vertical="top" wrapText="1"/>
      <protection hidden="1"/>
    </xf>
    <xf numFmtId="0" fontId="83" fillId="10" borderId="60" xfId="0" applyFont="1" applyFill="1" applyBorder="1" applyAlignment="1" applyProtection="1">
      <alignment horizontal="left" indent="1"/>
      <protection hidden="1"/>
    </xf>
    <xf numFmtId="0" fontId="83" fillId="10" borderId="61" xfId="0" applyFont="1" applyFill="1" applyBorder="1" applyAlignment="1" applyProtection="1">
      <alignment horizontal="left" indent="1"/>
      <protection hidden="1"/>
    </xf>
    <xf numFmtId="0" fontId="83" fillId="10" borderId="62" xfId="0" applyFont="1" applyFill="1" applyBorder="1" applyAlignment="1" applyProtection="1">
      <alignment horizontal="left" indent="1"/>
      <protection hidden="1"/>
    </xf>
    <xf numFmtId="0" fontId="2" fillId="10" borderId="38" xfId="0" applyFont="1" applyFill="1" applyBorder="1" applyAlignment="1">
      <alignment horizontal="center" vertical="center"/>
    </xf>
    <xf numFmtId="0" fontId="2" fillId="10" borderId="0" xfId="0" applyFont="1" applyFill="1" applyBorder="1" applyAlignment="1">
      <alignment horizontal="center" vertical="center"/>
    </xf>
    <xf numFmtId="0" fontId="2" fillId="10" borderId="32" xfId="0" applyFont="1" applyFill="1" applyBorder="1" applyAlignment="1">
      <alignment horizontal="center" vertical="center"/>
    </xf>
    <xf numFmtId="0" fontId="2" fillId="10" borderId="34" xfId="0" applyFont="1" applyFill="1" applyBorder="1" applyAlignment="1">
      <alignment horizontal="center" vertical="center"/>
    </xf>
    <xf numFmtId="0" fontId="2" fillId="10" borderId="33" xfId="0" applyFont="1" applyFill="1" applyBorder="1" applyAlignment="1">
      <alignment horizontal="center" vertical="center"/>
    </xf>
    <xf numFmtId="0" fontId="83" fillId="10" borderId="63" xfId="0" applyFont="1" applyFill="1" applyBorder="1" applyAlignment="1" applyProtection="1">
      <alignment horizontal="left" indent="2"/>
      <protection hidden="1"/>
    </xf>
    <xf numFmtId="0" fontId="83" fillId="10" borderId="0" xfId="0" applyFont="1" applyFill="1" applyBorder="1" applyAlignment="1" applyProtection="1">
      <alignment horizontal="left" indent="2"/>
      <protection hidden="1"/>
    </xf>
    <xf numFmtId="0" fontId="83" fillId="10" borderId="64" xfId="0" applyFont="1" applyFill="1" applyBorder="1" applyAlignment="1" applyProtection="1">
      <alignment horizontal="left" indent="2"/>
      <protection hidden="1"/>
    </xf>
    <xf numFmtId="0" fontId="83" fillId="10" borderId="25" xfId="0" applyFont="1" applyFill="1" applyBorder="1" applyAlignment="1" applyProtection="1">
      <alignment horizontal="left" indent="2"/>
      <protection hidden="1"/>
    </xf>
    <xf numFmtId="0" fontId="83" fillId="10" borderId="26" xfId="0" applyFont="1" applyFill="1" applyBorder="1" applyAlignment="1" applyProtection="1">
      <alignment horizontal="left" indent="2"/>
      <protection hidden="1"/>
    </xf>
    <xf numFmtId="0" fontId="83" fillId="10" borderId="27" xfId="0" applyFont="1" applyFill="1" applyBorder="1" applyAlignment="1" applyProtection="1">
      <alignment horizontal="left" indent="2"/>
      <protection hidden="1"/>
    </xf>
    <xf numFmtId="0" fontId="139" fillId="6" borderId="10" xfId="0" applyFont="1" applyFill="1" applyBorder="1" applyAlignment="1">
      <alignment horizontal="center" vertical="center"/>
    </xf>
    <xf numFmtId="0" fontId="139" fillId="6" borderId="7" xfId="0" applyFont="1" applyFill="1" applyBorder="1" applyAlignment="1">
      <alignment horizontal="center" vertical="center"/>
    </xf>
    <xf numFmtId="0" fontId="139" fillId="6" borderId="8" xfId="0" applyFont="1" applyFill="1" applyBorder="1" applyAlignment="1">
      <alignment horizontal="center" vertical="center"/>
    </xf>
    <xf numFmtId="0" fontId="11" fillId="6" borderId="7" xfId="0" applyFont="1" applyFill="1" applyBorder="1" applyAlignment="1">
      <alignment horizontal="center" vertical="center"/>
    </xf>
    <xf numFmtId="0" fontId="2" fillId="10" borderId="38" xfId="0" applyFont="1" applyFill="1" applyBorder="1" applyAlignment="1">
      <alignment horizontal="center" vertical="center" wrapText="1"/>
    </xf>
    <xf numFmtId="0" fontId="2" fillId="10" borderId="0" xfId="0" applyFont="1" applyFill="1" applyBorder="1" applyAlignment="1">
      <alignment horizontal="center" vertical="center" wrapText="1"/>
    </xf>
    <xf numFmtId="0" fontId="2" fillId="10" borderId="22" xfId="0" applyFont="1" applyFill="1" applyBorder="1" applyAlignment="1">
      <alignment horizontal="center" vertical="center" wrapText="1"/>
    </xf>
    <xf numFmtId="0" fontId="11" fillId="6" borderId="10" xfId="0" applyFont="1" applyFill="1" applyBorder="1" applyAlignment="1">
      <alignment horizontal="center" vertical="center"/>
    </xf>
    <xf numFmtId="0" fontId="11" fillId="6" borderId="8" xfId="0" applyFont="1" applyFill="1" applyBorder="1" applyAlignment="1">
      <alignment horizontal="center" vertical="center"/>
    </xf>
    <xf numFmtId="3" fontId="2" fillId="20" borderId="10" xfId="0" applyNumberFormat="1" applyFont="1" applyFill="1" applyBorder="1" applyAlignment="1" applyProtection="1">
      <alignment horizontal="left" vertical="center"/>
      <protection locked="0"/>
    </xf>
    <xf numFmtId="3" fontId="2" fillId="20" borderId="7" xfId="0" applyNumberFormat="1" applyFont="1" applyFill="1" applyBorder="1" applyAlignment="1" applyProtection="1">
      <alignment horizontal="left" vertical="center"/>
      <protection locked="0"/>
    </xf>
    <xf numFmtId="3" fontId="2" fillId="20" borderId="8" xfId="0" applyNumberFormat="1" applyFont="1" applyFill="1" applyBorder="1" applyAlignment="1" applyProtection="1">
      <alignment horizontal="left" vertical="center"/>
      <protection locked="0"/>
    </xf>
    <xf numFmtId="0" fontId="76" fillId="10" borderId="0" xfId="0" applyFont="1" applyFill="1" applyAlignment="1">
      <alignment horizontal="left" vertical="center" wrapText="1" indent="8"/>
    </xf>
    <xf numFmtId="0" fontId="76" fillId="10" borderId="0" xfId="0" applyFont="1" applyFill="1" applyAlignment="1">
      <alignment horizontal="left" vertical="center" indent="8"/>
    </xf>
    <xf numFmtId="0" fontId="4" fillId="6" borderId="6" xfId="0" applyFont="1" applyFill="1" applyBorder="1" applyAlignment="1">
      <alignment horizontal="left" vertical="center" indent="1"/>
    </xf>
    <xf numFmtId="0" fontId="4" fillId="6" borderId="9" xfId="0" applyFont="1" applyFill="1" applyBorder="1" applyAlignment="1">
      <alignment horizontal="left" vertical="center" indent="1"/>
    </xf>
    <xf numFmtId="0" fontId="2" fillId="4" borderId="37" xfId="0" applyFont="1" applyFill="1" applyBorder="1" applyAlignment="1">
      <alignment horizontal="left" vertical="center"/>
    </xf>
    <xf numFmtId="0" fontId="2" fillId="4" borderId="75" xfId="0" applyFont="1" applyFill="1" applyBorder="1" applyAlignment="1">
      <alignment horizontal="left" vertical="center"/>
    </xf>
    <xf numFmtId="0" fontId="2" fillId="4" borderId="31" xfId="0" applyFont="1" applyFill="1" applyBorder="1" applyAlignment="1">
      <alignment horizontal="left" vertical="center"/>
    </xf>
    <xf numFmtId="3" fontId="14" fillId="20" borderId="4" xfId="0" applyNumberFormat="1" applyFont="1" applyFill="1" applyBorder="1" applyAlignment="1" applyProtection="1">
      <alignment horizontal="center" vertical="center"/>
      <protection locked="0"/>
    </xf>
    <xf numFmtId="3" fontId="2" fillId="20" borderId="4" xfId="0" applyNumberFormat="1" applyFont="1" applyFill="1" applyBorder="1" applyAlignment="1" applyProtection="1">
      <alignment horizontal="center" vertical="center"/>
      <protection locked="0"/>
    </xf>
    <xf numFmtId="3" fontId="2" fillId="20" borderId="10" xfId="0" applyNumberFormat="1" applyFont="1" applyFill="1" applyBorder="1" applyAlignment="1" applyProtection="1">
      <alignment horizontal="center" vertical="center"/>
      <protection locked="0"/>
    </xf>
    <xf numFmtId="3" fontId="2" fillId="20" borderId="7" xfId="0" applyNumberFormat="1" applyFont="1" applyFill="1" applyBorder="1" applyAlignment="1" applyProtection="1">
      <alignment horizontal="center" vertical="center"/>
      <protection locked="0"/>
    </xf>
    <xf numFmtId="3" fontId="2" fillId="20" borderId="8" xfId="0" applyNumberFormat="1" applyFont="1" applyFill="1" applyBorder="1" applyAlignment="1" applyProtection="1">
      <alignment horizontal="center" vertical="center"/>
      <protection locked="0"/>
    </xf>
    <xf numFmtId="3" fontId="2" fillId="20" borderId="4" xfId="0" applyNumberFormat="1" applyFont="1" applyFill="1" applyBorder="1" applyAlignment="1" applyProtection="1">
      <alignment horizontal="left" vertical="center"/>
      <protection locked="0"/>
    </xf>
    <xf numFmtId="0" fontId="19" fillId="15" borderId="122" xfId="0" applyFont="1" applyFill="1" applyBorder="1" applyAlignment="1" applyProtection="1">
      <alignment horizontal="left" vertical="center" wrapText="1"/>
      <protection hidden="1"/>
    </xf>
    <xf numFmtId="0" fontId="19" fillId="15" borderId="8" xfId="0" applyFont="1" applyFill="1" applyBorder="1" applyAlignment="1" applyProtection="1">
      <alignment horizontal="left" vertical="center" wrapText="1"/>
      <protection hidden="1"/>
    </xf>
    <xf numFmtId="0" fontId="19" fillId="20" borderId="10" xfId="0" applyFont="1" applyFill="1" applyBorder="1" applyAlignment="1" applyProtection="1">
      <alignment horizontal="left" vertical="center"/>
      <protection locked="0" hidden="1"/>
    </xf>
    <xf numFmtId="0" fontId="19" fillId="20" borderId="7" xfId="0" applyFont="1" applyFill="1" applyBorder="1" applyAlignment="1" applyProtection="1">
      <alignment horizontal="left" vertical="center"/>
      <protection locked="0" hidden="1"/>
    </xf>
    <xf numFmtId="0" fontId="19" fillId="20" borderId="117" xfId="0" applyFont="1" applyFill="1" applyBorder="1" applyAlignment="1" applyProtection="1">
      <alignment horizontal="left" vertical="center"/>
      <protection locked="0" hidden="1"/>
    </xf>
    <xf numFmtId="0" fontId="157" fillId="6" borderId="17" xfId="0" applyFont="1" applyFill="1" applyBorder="1" applyAlignment="1" applyProtection="1">
      <alignment horizontal="left" vertical="center" wrapText="1"/>
      <protection hidden="1"/>
    </xf>
    <xf numFmtId="0" fontId="157" fillId="6" borderId="95" xfId="0" applyFont="1" applyFill="1" applyBorder="1" applyAlignment="1" applyProtection="1">
      <alignment horizontal="left" vertical="center" wrapText="1"/>
      <protection hidden="1"/>
    </xf>
    <xf numFmtId="0" fontId="157" fillId="6" borderId="94" xfId="0" applyFont="1" applyFill="1" applyBorder="1" applyAlignment="1" applyProtection="1">
      <alignment horizontal="left" vertical="center" wrapText="1"/>
      <protection hidden="1"/>
    </xf>
    <xf numFmtId="0" fontId="19" fillId="15" borderId="107" xfId="0" applyFont="1" applyFill="1" applyBorder="1" applyAlignment="1" applyProtection="1">
      <alignment horizontal="left" vertical="center" wrapText="1"/>
      <protection hidden="1"/>
    </xf>
    <xf numFmtId="0" fontId="19" fillId="15" borderId="115" xfId="0" applyFont="1" applyFill="1" applyBorder="1" applyAlignment="1" applyProtection="1">
      <alignment horizontal="left" vertical="center" wrapText="1"/>
      <protection hidden="1"/>
    </xf>
    <xf numFmtId="0" fontId="19" fillId="20" borderId="113" xfId="0" applyFont="1" applyFill="1" applyBorder="1" applyAlignment="1" applyProtection="1">
      <alignment horizontal="left" vertical="center" wrapText="1"/>
      <protection locked="0" hidden="1"/>
    </xf>
    <xf numFmtId="0" fontId="19" fillId="20" borderId="114" xfId="0" applyFont="1" applyFill="1" applyBorder="1" applyAlignment="1" applyProtection="1">
      <alignment horizontal="left" vertical="center" wrapText="1"/>
      <protection locked="0" hidden="1"/>
    </xf>
    <xf numFmtId="0" fontId="19" fillId="15" borderId="121" xfId="0" applyFont="1" applyFill="1" applyBorder="1" applyAlignment="1" applyProtection="1">
      <alignment horizontal="left" vertical="center" wrapText="1"/>
      <protection hidden="1"/>
    </xf>
    <xf numFmtId="0" fontId="19" fillId="15" borderId="34" xfId="0" applyFont="1" applyFill="1" applyBorder="1" applyAlignment="1" applyProtection="1">
      <alignment horizontal="left" vertical="center" wrapText="1"/>
      <protection hidden="1"/>
    </xf>
    <xf numFmtId="0" fontId="19" fillId="20" borderId="0" xfId="0" applyFont="1" applyFill="1" applyBorder="1" applyAlignment="1" applyProtection="1">
      <alignment horizontal="left" vertical="center" wrapText="1"/>
      <protection locked="0" hidden="1"/>
    </xf>
    <xf numFmtId="0" fontId="19" fillId="20" borderId="111" xfId="0" applyFont="1" applyFill="1" applyBorder="1" applyAlignment="1" applyProtection="1">
      <alignment horizontal="left" vertical="center" wrapText="1"/>
      <protection locked="0" hidden="1"/>
    </xf>
    <xf numFmtId="0" fontId="19" fillId="20" borderId="10" xfId="0" applyFont="1" applyFill="1" applyBorder="1" applyAlignment="1" applyProtection="1">
      <alignment horizontal="left" vertical="center" wrapText="1"/>
      <protection locked="0" hidden="1"/>
    </xf>
    <xf numFmtId="0" fontId="19" fillId="20" borderId="7" xfId="0" applyFont="1" applyFill="1" applyBorder="1" applyAlignment="1" applyProtection="1">
      <alignment horizontal="left" vertical="center" wrapText="1"/>
      <protection locked="0" hidden="1"/>
    </xf>
    <xf numFmtId="0" fontId="19" fillId="20" borderId="117" xfId="0" applyFont="1" applyFill="1" applyBorder="1" applyAlignment="1" applyProtection="1">
      <alignment horizontal="left" vertical="center" wrapText="1"/>
      <protection locked="0" hidden="1"/>
    </xf>
    <xf numFmtId="0" fontId="19" fillId="15" borderId="7" xfId="0" applyFont="1" applyFill="1" applyBorder="1" applyAlignment="1" applyProtection="1">
      <alignment horizontal="left" vertical="center" wrapText="1"/>
      <protection hidden="1"/>
    </xf>
    <xf numFmtId="0" fontId="19" fillId="15" borderId="117" xfId="0" applyFont="1" applyFill="1" applyBorder="1" applyAlignment="1" applyProtection="1">
      <alignment horizontal="left" vertical="center" wrapText="1"/>
      <protection hidden="1"/>
    </xf>
    <xf numFmtId="0" fontId="19" fillId="20" borderId="121" xfId="0" applyFont="1" applyFill="1" applyBorder="1" applyAlignment="1" applyProtection="1">
      <alignment horizontal="left" vertical="center" wrapText="1"/>
      <protection locked="0" hidden="1"/>
    </xf>
    <xf numFmtId="0" fontId="19" fillId="20" borderId="33" xfId="0" applyFont="1" applyFill="1" applyBorder="1" applyAlignment="1" applyProtection="1">
      <alignment horizontal="left" vertical="center" wrapText="1"/>
      <protection locked="0" hidden="1"/>
    </xf>
    <xf numFmtId="0" fontId="19" fillId="20" borderId="119" xfId="0" applyFont="1" applyFill="1" applyBorder="1" applyAlignment="1" applyProtection="1">
      <alignment horizontal="left" vertical="center" wrapText="1"/>
      <protection locked="0" hidden="1"/>
    </xf>
    <xf numFmtId="0" fontId="19" fillId="20" borderId="110" xfId="0" applyFont="1" applyFill="1" applyBorder="1" applyAlignment="1" applyProtection="1">
      <alignment horizontal="left" vertical="center" wrapText="1"/>
      <protection locked="0" hidden="1"/>
    </xf>
    <xf numFmtId="0" fontId="19" fillId="20" borderId="118" xfId="0" applyFont="1" applyFill="1" applyBorder="1" applyAlignment="1" applyProtection="1">
      <alignment horizontal="left" vertical="center" wrapText="1"/>
      <protection locked="0" hidden="1"/>
    </xf>
    <xf numFmtId="0" fontId="19" fillId="20" borderId="3" xfId="0" applyFont="1" applyFill="1" applyBorder="1" applyAlignment="1" applyProtection="1">
      <alignment horizontal="left" vertical="center" wrapText="1"/>
      <protection locked="0" hidden="1"/>
    </xf>
    <xf numFmtId="0" fontId="19" fillId="20" borderId="120" xfId="0" applyFont="1" applyFill="1" applyBorder="1" applyAlignment="1" applyProtection="1">
      <alignment horizontal="left" vertical="center" wrapText="1"/>
      <protection locked="0" hidden="1"/>
    </xf>
    <xf numFmtId="0" fontId="19" fillId="15" borderId="110" xfId="0" applyFont="1" applyFill="1" applyBorder="1" applyAlignment="1" applyProtection="1">
      <alignment horizontal="left" vertical="center" wrapText="1"/>
      <protection hidden="1"/>
    </xf>
    <xf numFmtId="0" fontId="19" fillId="15" borderId="22" xfId="0" applyFont="1" applyFill="1" applyBorder="1" applyAlignment="1" applyProtection="1">
      <alignment horizontal="left" vertical="center" wrapText="1"/>
      <protection hidden="1"/>
    </xf>
    <xf numFmtId="0" fontId="19" fillId="15" borderId="118" xfId="0" applyFont="1" applyFill="1" applyBorder="1" applyAlignment="1" applyProtection="1">
      <alignment horizontal="left" vertical="center" wrapText="1"/>
      <protection hidden="1"/>
    </xf>
    <xf numFmtId="0" fontId="19" fillId="15" borderId="36" xfId="0" applyFont="1" applyFill="1" applyBorder="1" applyAlignment="1" applyProtection="1">
      <alignment horizontal="left" vertical="center" wrapText="1"/>
      <protection hidden="1"/>
    </xf>
    <xf numFmtId="0" fontId="19" fillId="20" borderId="32" xfId="0" applyFont="1" applyFill="1" applyBorder="1" applyAlignment="1" applyProtection="1">
      <alignment horizontal="left" vertical="center" wrapText="1"/>
      <protection locked="0" hidden="1"/>
    </xf>
    <xf numFmtId="0" fontId="19" fillId="20" borderId="35" xfId="0" applyFont="1" applyFill="1" applyBorder="1" applyAlignment="1" applyProtection="1">
      <alignment horizontal="left" vertical="center" wrapText="1"/>
      <protection locked="0" hidden="1"/>
    </xf>
    <xf numFmtId="0" fontId="19" fillId="20" borderId="0" xfId="0" applyFont="1" applyFill="1" applyBorder="1" applyAlignment="1" applyProtection="1">
      <alignment horizontal="justify" vertical="center" wrapText="1"/>
      <protection locked="0" hidden="1"/>
    </xf>
    <xf numFmtId="0" fontId="19" fillId="20" borderId="111" xfId="0" applyFont="1" applyFill="1" applyBorder="1" applyAlignment="1" applyProtection="1">
      <alignment horizontal="justify" vertical="center" wrapText="1"/>
      <protection locked="0" hidden="1"/>
    </xf>
    <xf numFmtId="0" fontId="19" fillId="20" borderId="10" xfId="0" applyFont="1" applyFill="1" applyBorder="1" applyAlignment="1" applyProtection="1">
      <alignment horizontal="justify" vertical="center" wrapText="1"/>
      <protection locked="0" hidden="1"/>
    </xf>
    <xf numFmtId="0" fontId="19" fillId="20" borderId="7" xfId="0" applyFont="1" applyFill="1" applyBorder="1" applyAlignment="1" applyProtection="1">
      <alignment horizontal="justify" vertical="center" wrapText="1"/>
      <protection locked="0" hidden="1"/>
    </xf>
    <xf numFmtId="0" fontId="19" fillId="20" borderId="117" xfId="0" applyFont="1" applyFill="1" applyBorder="1" applyAlignment="1" applyProtection="1">
      <alignment horizontal="justify" vertical="center" wrapText="1"/>
      <protection locked="0" hidden="1"/>
    </xf>
    <xf numFmtId="0" fontId="19" fillId="20" borderId="10" xfId="0" applyFont="1" applyFill="1" applyBorder="1" applyAlignment="1" applyProtection="1">
      <alignment horizontal="center" vertical="center" wrapText="1"/>
      <protection locked="0" hidden="1"/>
    </xf>
    <xf numFmtId="0" fontId="19" fillId="20" borderId="7" xfId="0" applyFont="1" applyFill="1" applyBorder="1" applyAlignment="1" applyProtection="1">
      <alignment horizontal="center" vertical="center" wrapText="1"/>
      <protection locked="0" hidden="1"/>
    </xf>
    <xf numFmtId="0" fontId="19" fillId="20" borderId="117" xfId="0" applyFont="1" applyFill="1" applyBorder="1" applyAlignment="1" applyProtection="1">
      <alignment horizontal="center" vertical="center" wrapText="1"/>
      <protection locked="0" hidden="1"/>
    </xf>
    <xf numFmtId="0" fontId="19" fillId="15" borderId="0" xfId="0" applyFont="1" applyFill="1" applyBorder="1" applyAlignment="1" applyProtection="1">
      <alignment horizontal="left" vertical="center" wrapText="1"/>
      <protection hidden="1"/>
    </xf>
    <xf numFmtId="0" fontId="19" fillId="20" borderId="116" xfId="0" applyFont="1" applyFill="1" applyBorder="1" applyAlignment="1" applyProtection="1">
      <alignment horizontal="center" vertical="center" wrapText="1"/>
      <protection locked="0" hidden="1"/>
    </xf>
    <xf numFmtId="0" fontId="19" fillId="20" borderId="19" xfId="0" applyFont="1" applyFill="1" applyBorder="1" applyAlignment="1" applyProtection="1">
      <alignment horizontal="center" vertical="center" wrapText="1"/>
      <protection locked="0" hidden="1"/>
    </xf>
    <xf numFmtId="0" fontId="19" fillId="20" borderId="96" xfId="0" applyFont="1" applyFill="1" applyBorder="1" applyAlignment="1" applyProtection="1">
      <alignment horizontal="center" vertical="center" wrapText="1"/>
      <protection locked="0" hidden="1"/>
    </xf>
    <xf numFmtId="0" fontId="19" fillId="15" borderId="109" xfId="0" applyFont="1" applyFill="1" applyBorder="1" applyAlignment="1" applyProtection="1">
      <alignment horizontal="left" vertical="center" wrapText="1"/>
      <protection hidden="1"/>
    </xf>
    <xf numFmtId="0" fontId="19" fillId="20" borderId="123" xfId="0" applyFont="1" applyFill="1" applyBorder="1" applyAlignment="1" applyProtection="1">
      <alignment horizontal="left" vertical="center" wrapText="1"/>
      <protection locked="0" hidden="1"/>
    </xf>
    <xf numFmtId="0" fontId="19" fillId="15" borderId="4" xfId="0" applyFont="1" applyFill="1" applyBorder="1" applyAlignment="1" applyProtection="1">
      <alignment horizontal="left" vertical="center" wrapText="1"/>
      <protection hidden="1"/>
    </xf>
    <xf numFmtId="0" fontId="19" fillId="20" borderId="4" xfId="0" applyFont="1" applyFill="1" applyBorder="1" applyAlignment="1" applyProtection="1">
      <alignment horizontal="left" wrapText="1"/>
      <protection locked="0" hidden="1"/>
    </xf>
    <xf numFmtId="0" fontId="19" fillId="20" borderId="4" xfId="0" applyFont="1" applyFill="1" applyBorder="1" applyAlignment="1" applyProtection="1">
      <alignment horizontal="left" vertical="center" wrapText="1"/>
      <protection locked="0" hidden="1"/>
    </xf>
    <xf numFmtId="0" fontId="19" fillId="20" borderId="123" xfId="0" applyFont="1" applyFill="1" applyBorder="1" applyAlignment="1" applyProtection="1">
      <alignment horizontal="justify" vertical="center" wrapText="1"/>
      <protection locked="0" hidden="1"/>
    </xf>
    <xf numFmtId="0" fontId="19" fillId="20" borderId="113" xfId="0" applyFont="1" applyFill="1" applyBorder="1" applyAlignment="1" applyProtection="1">
      <alignment horizontal="justify" vertical="center" wrapText="1"/>
      <protection locked="0" hidden="1"/>
    </xf>
    <xf numFmtId="0" fontId="19" fillId="20" borderId="114" xfId="0" applyFont="1" applyFill="1" applyBorder="1" applyAlignment="1" applyProtection="1">
      <alignment horizontal="justify" vertical="center" wrapText="1"/>
      <protection locked="0" hidden="1"/>
    </xf>
    <xf numFmtId="0" fontId="19" fillId="20" borderId="4" xfId="0" applyFont="1" applyFill="1" applyBorder="1" applyAlignment="1" applyProtection="1">
      <alignment horizontal="justify" vertical="center" wrapText="1"/>
      <protection locked="0" hidden="1"/>
    </xf>
    <xf numFmtId="0" fontId="19" fillId="15" borderId="123" xfId="0" applyFont="1" applyFill="1" applyBorder="1" applyAlignment="1" applyProtection="1">
      <alignment horizontal="left" vertical="center" wrapText="1"/>
      <protection hidden="1"/>
    </xf>
    <xf numFmtId="0" fontId="19" fillId="15" borderId="113" xfId="0" applyFont="1" applyFill="1" applyBorder="1" applyAlignment="1" applyProtection="1">
      <alignment horizontal="left" vertical="center" wrapText="1"/>
      <protection hidden="1"/>
    </xf>
    <xf numFmtId="0" fontId="19" fillId="15" borderId="124" xfId="0" applyFont="1" applyFill="1" applyBorder="1" applyAlignment="1" applyProtection="1">
      <alignment horizontal="left" vertical="center" wrapText="1"/>
      <protection hidden="1"/>
    </xf>
    <xf numFmtId="0" fontId="158" fillId="11" borderId="0" xfId="0" applyFont="1" applyFill="1" applyAlignment="1" applyProtection="1">
      <alignment horizontal="justify" vertical="center" wrapText="1"/>
      <protection hidden="1"/>
    </xf>
    <xf numFmtId="0" fontId="8" fillId="4" borderId="107" xfId="0" applyFont="1" applyFill="1" applyBorder="1" applyAlignment="1" applyProtection="1">
      <alignment horizontal="left" vertical="center" wrapText="1"/>
      <protection hidden="1"/>
    </xf>
    <xf numFmtId="0" fontId="8" fillId="4" borderId="109" xfId="0" applyFont="1" applyFill="1" applyBorder="1" applyAlignment="1" applyProtection="1">
      <alignment horizontal="left" vertical="center" wrapText="1"/>
      <protection hidden="1"/>
    </xf>
    <xf numFmtId="0" fontId="8" fillId="4" borderId="108" xfId="0" applyFont="1" applyFill="1" applyBorder="1" applyAlignment="1" applyProtection="1">
      <alignment horizontal="left" vertical="center" wrapText="1"/>
      <protection hidden="1"/>
    </xf>
    <xf numFmtId="0" fontId="19" fillId="15" borderId="4" xfId="0" applyFont="1" applyFill="1" applyBorder="1" applyAlignment="1" applyProtection="1">
      <alignment horizontal="justify" vertical="center" wrapText="1"/>
      <protection hidden="1"/>
    </xf>
    <xf numFmtId="0" fontId="19" fillId="20" borderId="4" xfId="0" applyFont="1" applyFill="1" applyBorder="1" applyAlignment="1" applyProtection="1">
      <alignment horizontal="center" vertical="center" wrapText="1"/>
      <protection locked="0" hidden="1"/>
    </xf>
    <xf numFmtId="0" fontId="19" fillId="10" borderId="0" xfId="0" applyFont="1" applyFill="1" applyAlignment="1" applyProtection="1">
      <alignment horizontal="justify" vertical="center" wrapText="1"/>
      <protection hidden="1"/>
    </xf>
    <xf numFmtId="0" fontId="19" fillId="0" borderId="0" xfId="0" applyFont="1" applyAlignment="1" applyProtection="1">
      <alignment horizontal="center" vertical="center"/>
      <protection hidden="1"/>
    </xf>
    <xf numFmtId="0" fontId="160" fillId="0" borderId="0" xfId="0" applyFont="1" applyAlignment="1" applyProtection="1">
      <alignment horizontal="left" vertical="center" indent="1"/>
      <protection hidden="1"/>
    </xf>
    <xf numFmtId="0" fontId="155" fillId="6" borderId="0" xfId="0" applyFont="1" applyFill="1" applyAlignment="1" applyProtection="1">
      <alignment horizontal="left" vertical="center" indent="1"/>
      <protection hidden="1"/>
    </xf>
    <xf numFmtId="0" fontId="19" fillId="20" borderId="32" xfId="0" applyFont="1" applyFill="1" applyBorder="1" applyAlignment="1" applyProtection="1">
      <alignment horizontal="left" vertical="center"/>
      <protection locked="0" hidden="1"/>
    </xf>
    <xf numFmtId="0" fontId="19" fillId="20" borderId="33" xfId="0" applyFont="1" applyFill="1" applyBorder="1" applyAlignment="1" applyProtection="1">
      <alignment horizontal="left" vertical="center"/>
      <protection locked="0" hidden="1"/>
    </xf>
    <xf numFmtId="0" fontId="19" fillId="20" borderId="119" xfId="0" applyFont="1" applyFill="1" applyBorder="1" applyAlignment="1" applyProtection="1">
      <alignment horizontal="left" vertical="center"/>
      <protection locked="0" hidden="1"/>
    </xf>
    <xf numFmtId="0" fontId="19" fillId="20" borderId="35" xfId="0" applyFont="1" applyFill="1" applyBorder="1" applyAlignment="1" applyProtection="1">
      <alignment horizontal="left" vertical="center"/>
      <protection locked="0" hidden="1"/>
    </xf>
    <xf numFmtId="0" fontId="19" fillId="20" borderId="3" xfId="0" applyFont="1" applyFill="1" applyBorder="1" applyAlignment="1" applyProtection="1">
      <alignment horizontal="left" vertical="center"/>
      <protection locked="0" hidden="1"/>
    </xf>
    <xf numFmtId="0" fontId="19" fillId="20" borderId="120" xfId="0" applyFont="1" applyFill="1" applyBorder="1" applyAlignment="1" applyProtection="1">
      <alignment horizontal="left" vertical="center"/>
      <protection locked="0" hidden="1"/>
    </xf>
    <xf numFmtId="0" fontId="157" fillId="33" borderId="110" xfId="0" applyFont="1" applyFill="1" applyBorder="1" applyAlignment="1" applyProtection="1">
      <alignment horizontal="left" vertical="center" wrapText="1"/>
      <protection hidden="1"/>
    </xf>
    <xf numFmtId="0" fontId="157" fillId="33" borderId="0" xfId="0" applyFont="1" applyFill="1" applyBorder="1" applyAlignment="1" applyProtection="1">
      <alignment horizontal="left" vertical="center" wrapText="1"/>
      <protection hidden="1"/>
    </xf>
    <xf numFmtId="0" fontId="19" fillId="15" borderId="17" xfId="0" applyFont="1" applyFill="1" applyBorder="1" applyAlignment="1" applyProtection="1">
      <alignment horizontal="left" vertical="center" wrapText="1"/>
      <protection hidden="1"/>
    </xf>
    <xf numFmtId="0" fontId="19" fillId="15" borderId="94" xfId="0" applyFont="1" applyFill="1" applyBorder="1" applyAlignment="1" applyProtection="1">
      <alignment horizontal="left" vertical="center" wrapText="1"/>
      <protection hidden="1"/>
    </xf>
    <xf numFmtId="0" fontId="19" fillId="19" borderId="17" xfId="0" applyFont="1" applyFill="1" applyBorder="1" applyAlignment="1" applyProtection="1">
      <alignment horizontal="justify" vertical="center" wrapText="1"/>
      <protection hidden="1"/>
    </xf>
    <xf numFmtId="0" fontId="19" fillId="19" borderId="95" xfId="0" applyFont="1" applyFill="1" applyBorder="1" applyAlignment="1" applyProtection="1">
      <alignment horizontal="justify" vertical="center" wrapText="1"/>
      <protection hidden="1"/>
    </xf>
    <xf numFmtId="0" fontId="19" fillId="19" borderId="94" xfId="0" applyFont="1" applyFill="1" applyBorder="1" applyAlignment="1" applyProtection="1">
      <alignment horizontal="justify" vertical="center" wrapText="1"/>
      <protection hidden="1"/>
    </xf>
    <xf numFmtId="0" fontId="41" fillId="6" borderId="60" xfId="0" applyFont="1" applyFill="1" applyBorder="1" applyAlignment="1" applyProtection="1">
      <alignment horizontal="center" vertical="top" wrapText="1"/>
      <protection hidden="1"/>
    </xf>
    <xf numFmtId="0" fontId="41" fillId="6" borderId="61" xfId="0" applyFont="1" applyFill="1" applyBorder="1" applyAlignment="1" applyProtection="1">
      <alignment horizontal="center" vertical="top" wrapText="1"/>
      <protection hidden="1"/>
    </xf>
    <xf numFmtId="0" fontId="41" fillId="6" borderId="62" xfId="0" applyFont="1" applyFill="1" applyBorder="1" applyAlignment="1" applyProtection="1">
      <alignment horizontal="center" vertical="top" wrapText="1"/>
      <protection hidden="1"/>
    </xf>
    <xf numFmtId="0" fontId="41" fillId="6" borderId="63" xfId="0" applyFont="1" applyFill="1" applyBorder="1" applyAlignment="1" applyProtection="1">
      <alignment horizontal="center" vertical="center" wrapText="1"/>
      <protection hidden="1"/>
    </xf>
    <xf numFmtId="0" fontId="41" fillId="6" borderId="0" xfId="0" applyFont="1" applyFill="1" applyBorder="1" applyAlignment="1" applyProtection="1">
      <alignment horizontal="center" vertical="center" wrapText="1"/>
      <protection hidden="1"/>
    </xf>
    <xf numFmtId="0" fontId="41" fillId="6" borderId="64" xfId="0" applyFont="1" applyFill="1" applyBorder="1" applyAlignment="1" applyProtection="1">
      <alignment horizontal="center" vertical="center" wrapText="1"/>
      <protection hidden="1"/>
    </xf>
    <xf numFmtId="0" fontId="41" fillId="6" borderId="25" xfId="0" applyFont="1" applyFill="1" applyBorder="1" applyAlignment="1" applyProtection="1">
      <alignment horizontal="center" vertical="center" wrapText="1"/>
      <protection hidden="1"/>
    </xf>
    <xf numFmtId="0" fontId="41" fillId="6" borderId="26" xfId="0" applyFont="1" applyFill="1" applyBorder="1" applyAlignment="1" applyProtection="1">
      <alignment horizontal="center" vertical="center" wrapText="1"/>
      <protection hidden="1"/>
    </xf>
    <xf numFmtId="0" fontId="41" fillId="6" borderId="27" xfId="0" applyFont="1" applyFill="1" applyBorder="1" applyAlignment="1" applyProtection="1">
      <alignment horizontal="center" vertical="center" wrapText="1"/>
      <protection hidden="1"/>
    </xf>
    <xf numFmtId="0" fontId="19" fillId="10" borderId="0" xfId="0" applyFont="1" applyFill="1" applyAlignment="1" applyProtection="1">
      <alignment horizontal="justify" vertical="center"/>
      <protection hidden="1"/>
    </xf>
    <xf numFmtId="0" fontId="126" fillId="10" borderId="0" xfId="0" applyFont="1" applyFill="1" applyAlignment="1">
      <alignment horizontal="left" vertical="center" wrapText="1" indent="5"/>
    </xf>
    <xf numFmtId="3" fontId="112" fillId="20" borderId="4" xfId="0" applyNumberFormat="1" applyFont="1" applyFill="1" applyBorder="1" applyAlignment="1" applyProtection="1">
      <alignment horizontal="center" vertical="center"/>
      <protection locked="0"/>
    </xf>
    <xf numFmtId="0" fontId="2" fillId="10" borderId="10" xfId="2" applyFont="1" applyFill="1" applyBorder="1" applyAlignment="1" applyProtection="1">
      <alignment horizontal="left" vertical="center" indent="1"/>
      <protection hidden="1"/>
    </xf>
    <xf numFmtId="0" fontId="2" fillId="10" borderId="7" xfId="2" applyFont="1" applyFill="1" applyBorder="1" applyAlignment="1" applyProtection="1">
      <alignment horizontal="left" vertical="center" indent="1"/>
      <protection hidden="1"/>
    </xf>
    <xf numFmtId="0" fontId="2" fillId="10" borderId="8" xfId="2" applyFont="1" applyFill="1" applyBorder="1" applyAlignment="1" applyProtection="1">
      <alignment horizontal="left" vertical="center" indent="1"/>
      <protection hidden="1"/>
    </xf>
    <xf numFmtId="0" fontId="2" fillId="10" borderId="10" xfId="2" applyFont="1" applyFill="1" applyBorder="1" applyAlignment="1" applyProtection="1">
      <alignment horizontal="left" vertical="center" wrapText="1" indent="1"/>
      <protection hidden="1"/>
    </xf>
    <xf numFmtId="0" fontId="2" fillId="10" borderId="7" xfId="2" applyFont="1" applyFill="1" applyBorder="1" applyAlignment="1" applyProtection="1">
      <alignment horizontal="left" vertical="center" wrapText="1" indent="1"/>
      <protection hidden="1"/>
    </xf>
    <xf numFmtId="0" fontId="2" fillId="10" borderId="8" xfId="2" applyFont="1" applyFill="1" applyBorder="1" applyAlignment="1" applyProtection="1">
      <alignment horizontal="left" vertical="center" wrapText="1" indent="1"/>
      <protection hidden="1"/>
    </xf>
    <xf numFmtId="0" fontId="2" fillId="10" borderId="4" xfId="2" applyFont="1" applyFill="1" applyBorder="1" applyAlignment="1" applyProtection="1">
      <alignment horizontal="left" vertical="center" wrapText="1" indent="1"/>
      <protection hidden="1"/>
    </xf>
    <xf numFmtId="0" fontId="31" fillId="6" borderId="0" xfId="2" applyFont="1" applyFill="1" applyBorder="1" applyAlignment="1" applyProtection="1">
      <alignment horizontal="center" vertical="center"/>
      <protection hidden="1"/>
    </xf>
    <xf numFmtId="0" fontId="4" fillId="13" borderId="20" xfId="3" applyFont="1" applyFill="1" applyBorder="1" applyAlignment="1" applyProtection="1">
      <alignment horizontal="left" vertical="center" indent="1"/>
      <protection hidden="1"/>
    </xf>
    <xf numFmtId="0" fontId="4" fillId="13" borderId="24" xfId="3" applyFont="1" applyFill="1" applyBorder="1" applyAlignment="1" applyProtection="1">
      <alignment horizontal="left" vertical="center" indent="1"/>
      <protection hidden="1"/>
    </xf>
    <xf numFmtId="0" fontId="25" fillId="14" borderId="0" xfId="2" applyFont="1" applyFill="1" applyBorder="1" applyAlignment="1" applyProtection="1">
      <alignment horizontal="left" vertical="center" wrapText="1"/>
      <protection hidden="1"/>
    </xf>
    <xf numFmtId="0" fontId="32" fillId="14" borderId="68" xfId="2" applyFont="1" applyFill="1" applyBorder="1" applyAlignment="1" applyProtection="1">
      <alignment horizontal="center" vertical="center" wrapText="1"/>
      <protection hidden="1"/>
    </xf>
    <xf numFmtId="0" fontId="32" fillId="14" borderId="6" xfId="2" applyFont="1" applyFill="1" applyBorder="1" applyAlignment="1" applyProtection="1">
      <alignment horizontal="center" vertical="center" wrapText="1"/>
      <protection hidden="1"/>
    </xf>
    <xf numFmtId="0" fontId="25" fillId="14" borderId="6" xfId="2" applyFont="1" applyFill="1" applyBorder="1" applyAlignment="1" applyProtection="1">
      <alignment horizontal="left" vertical="center" wrapText="1"/>
      <protection hidden="1"/>
    </xf>
    <xf numFmtId="0" fontId="25" fillId="14" borderId="68" xfId="2" applyFont="1" applyFill="1" applyBorder="1" applyAlignment="1" applyProtection="1">
      <alignment horizontal="left" vertical="center" wrapText="1"/>
      <protection hidden="1"/>
    </xf>
    <xf numFmtId="0" fontId="4" fillId="7" borderId="20" xfId="3" applyFont="1" applyFill="1" applyBorder="1" applyAlignment="1" applyProtection="1">
      <alignment horizontal="left" vertical="center" wrapText="1" indent="1"/>
      <protection hidden="1"/>
    </xf>
    <xf numFmtId="0" fontId="4" fillId="7" borderId="24" xfId="3" applyFont="1" applyFill="1" applyBorder="1" applyAlignment="1" applyProtection="1">
      <alignment horizontal="left" vertical="center" wrapText="1" indent="1"/>
      <protection hidden="1"/>
    </xf>
    <xf numFmtId="0" fontId="5" fillId="6" borderId="4" xfId="2" applyFont="1" applyFill="1" applyBorder="1" applyAlignment="1" applyProtection="1">
      <alignment horizontal="center" vertical="center" wrapText="1"/>
      <protection hidden="1"/>
    </xf>
    <xf numFmtId="0" fontId="115" fillId="0" borderId="4" xfId="0" applyFont="1" applyBorder="1" applyAlignment="1" applyProtection="1">
      <alignment horizontal="center" vertical="center"/>
      <protection hidden="1"/>
    </xf>
    <xf numFmtId="0" fontId="22" fillId="4" borderId="4" xfId="2" applyFont="1" applyFill="1" applyBorder="1" applyAlignment="1" applyProtection="1">
      <alignment horizontal="center" vertical="center" wrapText="1"/>
      <protection hidden="1"/>
    </xf>
    <xf numFmtId="0" fontId="20" fillId="6" borderId="4" xfId="2" applyFont="1" applyFill="1" applyBorder="1" applyAlignment="1" applyProtection="1">
      <alignment horizontal="center" vertical="center" wrapText="1"/>
      <protection hidden="1"/>
    </xf>
    <xf numFmtId="0" fontId="20" fillId="5" borderId="20" xfId="3" applyFont="1" applyFill="1" applyBorder="1" applyAlignment="1" applyProtection="1">
      <alignment horizontal="left" vertical="center" wrapText="1" indent="1"/>
      <protection hidden="1"/>
    </xf>
    <xf numFmtId="0" fontId="20" fillId="5" borderId="24" xfId="3" applyFont="1" applyFill="1" applyBorder="1" applyAlignment="1" applyProtection="1">
      <alignment horizontal="left" vertical="center" wrapText="1" indent="1"/>
      <protection hidden="1"/>
    </xf>
    <xf numFmtId="0" fontId="4" fillId="16" borderId="20" xfId="3" applyFont="1" applyFill="1" applyBorder="1" applyAlignment="1" applyProtection="1">
      <alignment horizontal="left" vertical="center" indent="1"/>
      <protection hidden="1"/>
    </xf>
    <xf numFmtId="0" fontId="4" fillId="16" borderId="24" xfId="3" applyFont="1" applyFill="1" applyBorder="1" applyAlignment="1" applyProtection="1">
      <alignment horizontal="left" vertical="center" indent="1"/>
      <protection hidden="1"/>
    </xf>
    <xf numFmtId="0" fontId="129" fillId="6" borderId="0" xfId="0" applyFont="1" applyFill="1" applyBorder="1" applyAlignment="1" applyProtection="1">
      <alignment horizontal="left" vertical="center" indent="1"/>
      <protection hidden="1"/>
    </xf>
    <xf numFmtId="0" fontId="4" fillId="21" borderId="20" xfId="3" applyFont="1" applyFill="1" applyBorder="1" applyAlignment="1" applyProtection="1">
      <alignment horizontal="left" vertical="center" indent="1"/>
      <protection hidden="1"/>
    </xf>
    <xf numFmtId="0" fontId="4" fillId="21" borderId="24" xfId="3" applyFont="1" applyFill="1" applyBorder="1" applyAlignment="1" applyProtection="1">
      <alignment horizontal="left" vertical="center" indent="1"/>
      <protection hidden="1"/>
    </xf>
    <xf numFmtId="0" fontId="4" fillId="3" borderId="20" xfId="3" applyFont="1" applyFill="1" applyBorder="1" applyAlignment="1" applyProtection="1">
      <alignment horizontal="left" vertical="center" indent="1"/>
      <protection hidden="1"/>
    </xf>
    <xf numFmtId="0" fontId="4" fillId="3" borderId="24" xfId="3" applyFont="1" applyFill="1" applyBorder="1" applyAlignment="1" applyProtection="1">
      <alignment horizontal="left" vertical="center" indent="1"/>
      <protection hidden="1"/>
    </xf>
    <xf numFmtId="0" fontId="4" fillId="6" borderId="69" xfId="3" applyFont="1" applyFill="1" applyBorder="1" applyAlignment="1" applyProtection="1">
      <alignment horizontal="left" vertical="center" wrapText="1" indent="1"/>
      <protection hidden="1"/>
    </xf>
    <xf numFmtId="0" fontId="4" fillId="6" borderId="68" xfId="3" applyFont="1" applyFill="1" applyBorder="1" applyAlignment="1" applyProtection="1">
      <alignment horizontal="left" vertical="center" wrapText="1" indent="1"/>
      <protection hidden="1"/>
    </xf>
    <xf numFmtId="0" fontId="5" fillId="6" borderId="32" xfId="2" applyFont="1" applyFill="1" applyBorder="1" applyAlignment="1" applyProtection="1">
      <alignment horizontal="center" vertical="center" wrapText="1"/>
      <protection hidden="1"/>
    </xf>
    <xf numFmtId="0" fontId="5" fillId="6" borderId="33" xfId="2" applyFont="1" applyFill="1" applyBorder="1" applyAlignment="1" applyProtection="1">
      <alignment horizontal="center" vertical="center" wrapText="1"/>
      <protection hidden="1"/>
    </xf>
    <xf numFmtId="0" fontId="5" fillId="6" borderId="35" xfId="2" applyFont="1" applyFill="1" applyBorder="1" applyAlignment="1" applyProtection="1">
      <alignment horizontal="center" vertical="center" wrapText="1"/>
      <protection hidden="1"/>
    </xf>
    <xf numFmtId="0" fontId="5" fillId="6" borderId="3" xfId="2" applyFont="1" applyFill="1" applyBorder="1" applyAlignment="1" applyProtection="1">
      <alignment horizontal="center" vertical="center" wrapText="1"/>
      <protection hidden="1"/>
    </xf>
    <xf numFmtId="0" fontId="116" fillId="0" borderId="4" xfId="0" applyFont="1" applyBorder="1" applyAlignment="1" applyProtection="1">
      <alignment horizontal="center" vertical="center"/>
      <protection hidden="1"/>
    </xf>
    <xf numFmtId="0" fontId="90" fillId="6" borderId="0" xfId="0" applyFont="1" applyFill="1" applyBorder="1" applyAlignment="1" applyProtection="1">
      <alignment horizontal="left" vertical="center" indent="1"/>
      <protection hidden="1"/>
    </xf>
    <xf numFmtId="0" fontId="66" fillId="10" borderId="0" xfId="0" applyFont="1" applyFill="1" applyAlignment="1">
      <alignment horizontal="left" wrapText="1" indent="1"/>
    </xf>
    <xf numFmtId="0" fontId="127" fillId="10" borderId="10" xfId="3" applyFont="1" applyFill="1" applyBorder="1" applyAlignment="1">
      <alignment horizontal="left" vertical="center" indent="1"/>
    </xf>
    <xf numFmtId="0" fontId="127" fillId="10" borderId="8" xfId="3" applyFont="1" applyFill="1" applyBorder="1" applyAlignment="1">
      <alignment horizontal="left" vertical="center" indent="1"/>
    </xf>
    <xf numFmtId="0" fontId="5" fillId="21" borderId="0" xfId="2" applyFont="1" applyFill="1" applyBorder="1" applyAlignment="1" applyProtection="1">
      <alignment horizontal="left" vertical="top" wrapText="1"/>
      <protection hidden="1"/>
    </xf>
    <xf numFmtId="0" fontId="51" fillId="21" borderId="33" xfId="2" applyFont="1" applyFill="1" applyBorder="1" applyAlignment="1">
      <alignment horizontal="left" vertical="center"/>
    </xf>
    <xf numFmtId="0" fontId="51" fillId="21" borderId="0" xfId="2" applyFont="1" applyFill="1" applyBorder="1" applyAlignment="1">
      <alignment horizontal="left" vertical="center"/>
    </xf>
    <xf numFmtId="0" fontId="52" fillId="21" borderId="32" xfId="0" applyFont="1" applyFill="1" applyBorder="1" applyAlignment="1" applyProtection="1">
      <alignment horizontal="left" vertical="center" indent="1"/>
      <protection hidden="1"/>
    </xf>
    <xf numFmtId="0" fontId="52" fillId="21" borderId="34" xfId="0" applyFont="1" applyFill="1" applyBorder="1" applyAlignment="1" applyProtection="1">
      <alignment horizontal="left" vertical="center" indent="1"/>
      <protection hidden="1"/>
    </xf>
    <xf numFmtId="0" fontId="52" fillId="21" borderId="35" xfId="0" applyFont="1" applyFill="1" applyBorder="1" applyAlignment="1" applyProtection="1">
      <alignment horizontal="left" vertical="center" indent="1"/>
      <protection hidden="1"/>
    </xf>
    <xf numFmtId="0" fontId="52" fillId="21" borderId="36" xfId="0" applyFont="1" applyFill="1" applyBorder="1" applyAlignment="1" applyProtection="1">
      <alignment horizontal="left" vertical="center" indent="1"/>
      <protection hidden="1"/>
    </xf>
    <xf numFmtId="0" fontId="52" fillId="21" borderId="4" xfId="0" applyFont="1" applyFill="1" applyBorder="1" applyAlignment="1" applyProtection="1">
      <alignment horizontal="center" vertical="center" wrapText="1"/>
      <protection hidden="1"/>
    </xf>
    <xf numFmtId="0" fontId="40" fillId="21" borderId="0" xfId="0" applyFont="1" applyFill="1" applyBorder="1" applyAlignment="1" applyProtection="1">
      <alignment horizontal="left" vertical="center" indent="1"/>
      <protection hidden="1"/>
    </xf>
    <xf numFmtId="0" fontId="21" fillId="2" borderId="0" xfId="0" applyFont="1" applyFill="1" applyBorder="1" applyAlignment="1" applyProtection="1">
      <alignment horizontal="left" vertical="center" wrapText="1" indent="5"/>
      <protection hidden="1"/>
    </xf>
    <xf numFmtId="0" fontId="17" fillId="21" borderId="4" xfId="2" applyFont="1" applyFill="1" applyBorder="1" applyAlignment="1" applyProtection="1">
      <alignment horizontal="center" vertical="center" wrapText="1"/>
      <protection hidden="1"/>
    </xf>
    <xf numFmtId="0" fontId="9" fillId="21" borderId="0" xfId="0" applyFont="1" applyFill="1" applyBorder="1" applyAlignment="1" applyProtection="1">
      <alignment horizontal="left" vertical="center" indent="1"/>
      <protection hidden="1"/>
    </xf>
    <xf numFmtId="0" fontId="11" fillId="21" borderId="4" xfId="2" applyFont="1" applyFill="1" applyBorder="1" applyAlignment="1" applyProtection="1">
      <alignment horizontal="center" vertical="center"/>
      <protection hidden="1"/>
    </xf>
    <xf numFmtId="0" fontId="22" fillId="2" borderId="0" xfId="2" applyFont="1" applyFill="1" applyBorder="1" applyAlignment="1" applyProtection="1">
      <alignment horizontal="left" wrapText="1" indent="5"/>
      <protection hidden="1"/>
    </xf>
    <xf numFmtId="0" fontId="2" fillId="2" borderId="0" xfId="2" applyFill="1" applyBorder="1" applyAlignment="1" applyProtection="1">
      <alignment horizontal="left" wrapText="1" indent="5"/>
      <protection hidden="1"/>
    </xf>
    <xf numFmtId="0" fontId="68" fillId="11" borderId="60" xfId="2" applyFont="1" applyFill="1" applyBorder="1" applyAlignment="1" applyProtection="1">
      <alignment horizontal="left" vertical="center" wrapText="1" indent="1"/>
      <protection hidden="1"/>
    </xf>
    <xf numFmtId="0" fontId="68" fillId="11" borderId="61" xfId="2" applyFont="1" applyFill="1" applyBorder="1" applyAlignment="1" applyProtection="1">
      <alignment horizontal="left" vertical="center" wrapText="1" indent="1"/>
      <protection hidden="1"/>
    </xf>
    <xf numFmtId="0" fontId="68" fillId="11" borderId="62" xfId="2" applyFont="1" applyFill="1" applyBorder="1" applyAlignment="1" applyProtection="1">
      <alignment horizontal="left" vertical="center" wrapText="1" indent="1"/>
      <protection hidden="1"/>
    </xf>
    <xf numFmtId="0" fontId="68" fillId="11" borderId="63" xfId="2" applyFont="1" applyFill="1" applyBorder="1" applyAlignment="1" applyProtection="1">
      <alignment horizontal="left" vertical="center" wrapText="1" indent="1"/>
      <protection hidden="1"/>
    </xf>
    <xf numFmtId="0" fontId="68" fillId="11" borderId="0" xfId="2" applyFont="1" applyFill="1" applyBorder="1" applyAlignment="1" applyProtection="1">
      <alignment horizontal="left" vertical="center" wrapText="1" indent="1"/>
      <protection hidden="1"/>
    </xf>
    <xf numFmtId="0" fontId="68" fillId="11" borderId="64" xfId="2" applyFont="1" applyFill="1" applyBorder="1" applyAlignment="1" applyProtection="1">
      <alignment horizontal="left" vertical="center" wrapText="1" indent="1"/>
      <protection hidden="1"/>
    </xf>
    <xf numFmtId="0" fontId="68" fillId="11" borderId="25" xfId="2" applyFont="1" applyFill="1" applyBorder="1" applyAlignment="1" applyProtection="1">
      <alignment horizontal="left" vertical="center" wrapText="1" indent="1"/>
      <protection hidden="1"/>
    </xf>
    <xf numFmtId="0" fontId="68" fillId="11" borderId="26" xfId="2" applyFont="1" applyFill="1" applyBorder="1" applyAlignment="1" applyProtection="1">
      <alignment horizontal="left" vertical="center" wrapText="1" indent="1"/>
      <protection hidden="1"/>
    </xf>
    <xf numFmtId="0" fontId="68" fillId="11" borderId="27" xfId="2" applyFont="1" applyFill="1" applyBorder="1" applyAlignment="1" applyProtection="1">
      <alignment horizontal="left" vertical="center" wrapText="1" indent="1"/>
      <protection hidden="1"/>
    </xf>
    <xf numFmtId="0" fontId="73" fillId="2" borderId="0" xfId="2" applyFont="1" applyFill="1" applyAlignment="1" applyProtection="1">
      <alignment horizontal="right" vertical="center" wrapText="1"/>
      <protection hidden="1"/>
    </xf>
    <xf numFmtId="0" fontId="73" fillId="2" borderId="26" xfId="2" applyFont="1" applyFill="1" applyBorder="1" applyAlignment="1" applyProtection="1">
      <alignment horizontal="right" vertical="center" wrapText="1"/>
      <protection hidden="1"/>
    </xf>
    <xf numFmtId="0" fontId="20" fillId="21" borderId="28" xfId="2" applyFont="1" applyFill="1" applyBorder="1" applyAlignment="1" applyProtection="1">
      <alignment horizontal="left" vertical="center" wrapText="1" indent="1"/>
      <protection hidden="1"/>
    </xf>
    <xf numFmtId="0" fontId="20" fillId="21" borderId="29" xfId="2" applyFont="1" applyFill="1" applyBorder="1" applyAlignment="1" applyProtection="1">
      <alignment horizontal="left" vertical="center" wrapText="1" indent="1"/>
      <protection hidden="1"/>
    </xf>
    <xf numFmtId="0" fontId="2" fillId="11" borderId="28" xfId="2" applyFont="1" applyFill="1" applyBorder="1" applyAlignment="1" applyProtection="1">
      <alignment horizontal="left" vertical="center" wrapText="1" indent="1"/>
      <protection hidden="1"/>
    </xf>
    <xf numFmtId="0" fontId="2" fillId="11" borderId="29" xfId="2" applyFont="1" applyFill="1" applyBorder="1" applyAlignment="1" applyProtection="1">
      <alignment horizontal="left" vertical="center" wrapText="1" indent="1"/>
      <protection hidden="1"/>
    </xf>
    <xf numFmtId="0" fontId="10" fillId="21" borderId="0" xfId="0" applyFont="1" applyFill="1" applyBorder="1" applyAlignment="1" applyProtection="1">
      <alignment horizontal="left" vertical="center" indent="1"/>
      <protection hidden="1"/>
    </xf>
    <xf numFmtId="0" fontId="22" fillId="10" borderId="28" xfId="2" applyFont="1" applyFill="1" applyBorder="1" applyAlignment="1">
      <alignment horizontal="left" vertical="center" wrapText="1" indent="1"/>
    </xf>
    <xf numFmtId="0" fontId="2" fillId="10" borderId="29" xfId="2" applyFont="1" applyFill="1" applyBorder="1" applyAlignment="1">
      <alignment horizontal="left" vertical="center" wrapText="1" indent="1"/>
    </xf>
    <xf numFmtId="0" fontId="2" fillId="10" borderId="30" xfId="2" applyFont="1" applyFill="1" applyBorder="1" applyAlignment="1">
      <alignment horizontal="left" vertical="center" wrapText="1" indent="1"/>
    </xf>
    <xf numFmtId="0" fontId="2" fillId="4" borderId="10" xfId="0" applyFont="1" applyFill="1" applyBorder="1" applyAlignment="1" applyProtection="1">
      <alignment horizontal="left" vertical="center" wrapText="1" indent="1"/>
      <protection hidden="1"/>
    </xf>
    <xf numFmtId="0" fontId="2" fillId="4" borderId="7" xfId="0" applyFont="1" applyFill="1" applyBorder="1" applyAlignment="1" applyProtection="1">
      <alignment horizontal="left" vertical="center" wrapText="1" indent="1"/>
      <protection hidden="1"/>
    </xf>
    <xf numFmtId="0" fontId="2" fillId="4" borderId="8" xfId="0" applyFont="1" applyFill="1" applyBorder="1" applyAlignment="1" applyProtection="1">
      <alignment horizontal="left" vertical="center" wrapText="1" indent="1"/>
      <protection hidden="1"/>
    </xf>
    <xf numFmtId="0" fontId="13" fillId="21" borderId="10" xfId="0" applyFont="1" applyFill="1" applyBorder="1" applyAlignment="1" applyProtection="1">
      <alignment horizontal="center" vertical="center" wrapText="1"/>
      <protection hidden="1"/>
    </xf>
    <xf numFmtId="0" fontId="13" fillId="21" borderId="7" xfId="0" applyFont="1" applyFill="1" applyBorder="1" applyAlignment="1" applyProtection="1">
      <alignment horizontal="center" vertical="center" wrapText="1"/>
      <protection hidden="1"/>
    </xf>
    <xf numFmtId="0" fontId="2" fillId="20" borderId="32" xfId="2" applyFont="1" applyFill="1" applyBorder="1" applyAlignment="1" applyProtection="1">
      <alignment horizontal="center" vertical="center"/>
      <protection locked="0"/>
    </xf>
    <xf numFmtId="0" fontId="2" fillId="20" borderId="33" xfId="2" applyFont="1" applyFill="1" applyBorder="1" applyAlignment="1" applyProtection="1">
      <alignment horizontal="center" vertical="center"/>
      <protection locked="0"/>
    </xf>
    <xf numFmtId="0" fontId="13" fillId="21" borderId="7" xfId="0" applyFont="1" applyFill="1" applyBorder="1" applyAlignment="1" applyProtection="1">
      <alignment horizontal="center" vertical="center"/>
      <protection hidden="1"/>
    </xf>
    <xf numFmtId="0" fontId="13" fillId="21" borderId="8" xfId="0" applyFont="1" applyFill="1" applyBorder="1" applyAlignment="1" applyProtection="1">
      <alignment horizontal="center" vertical="center"/>
      <protection hidden="1"/>
    </xf>
    <xf numFmtId="0" fontId="2" fillId="2" borderId="0" xfId="2" applyFill="1" applyAlignment="1" applyProtection="1">
      <alignment horizontal="center" vertical="center"/>
      <protection hidden="1"/>
    </xf>
    <xf numFmtId="0" fontId="13" fillId="21" borderId="10" xfId="0" applyFont="1" applyFill="1" applyBorder="1" applyAlignment="1" applyProtection="1">
      <alignment horizontal="left" vertical="center" indent="1"/>
      <protection hidden="1"/>
    </xf>
    <xf numFmtId="0" fontId="13" fillId="21" borderId="7" xfId="0" applyFont="1" applyFill="1" applyBorder="1" applyAlignment="1" applyProtection="1">
      <alignment horizontal="left" vertical="center" indent="1"/>
      <protection hidden="1"/>
    </xf>
    <xf numFmtId="0" fontId="17" fillId="21" borderId="4" xfId="2" applyFont="1" applyFill="1" applyBorder="1" applyAlignment="1" applyProtection="1">
      <alignment horizontal="center" vertical="center"/>
      <protection hidden="1"/>
    </xf>
    <xf numFmtId="0" fontId="2" fillId="20" borderId="31" xfId="2" applyFont="1" applyFill="1" applyBorder="1" applyAlignment="1" applyProtection="1">
      <alignment horizontal="center" vertical="center"/>
      <protection locked="0"/>
    </xf>
    <xf numFmtId="0" fontId="2" fillId="20" borderId="4" xfId="2" applyFont="1" applyFill="1" applyBorder="1" applyAlignment="1" applyProtection="1">
      <alignment horizontal="center" vertical="center"/>
      <protection locked="0"/>
    </xf>
    <xf numFmtId="0" fontId="2" fillId="10" borderId="69" xfId="2" applyFill="1" applyBorder="1" applyAlignment="1" applyProtection="1">
      <alignment horizontal="left" vertical="center" indent="5"/>
      <protection hidden="1"/>
    </xf>
    <xf numFmtId="0" fontId="2" fillId="10" borderId="68" xfId="2" applyFill="1" applyBorder="1" applyAlignment="1" applyProtection="1">
      <alignment horizontal="left" vertical="center" indent="5"/>
      <protection hidden="1"/>
    </xf>
    <xf numFmtId="0" fontId="2" fillId="10" borderId="70" xfId="2" applyFill="1" applyBorder="1" applyAlignment="1" applyProtection="1">
      <alignment horizontal="left" vertical="center" indent="5"/>
      <protection hidden="1"/>
    </xf>
    <xf numFmtId="0" fontId="2" fillId="10" borderId="73" xfId="2" applyFill="1" applyBorder="1" applyAlignment="1" applyProtection="1">
      <alignment horizontal="left" vertical="center" indent="5"/>
      <protection hidden="1"/>
    </xf>
    <xf numFmtId="0" fontId="2" fillId="10" borderId="6" xfId="2" applyFill="1" applyBorder="1" applyAlignment="1" applyProtection="1">
      <alignment horizontal="left" vertical="center" indent="5"/>
      <protection hidden="1"/>
    </xf>
    <xf numFmtId="0" fontId="2" fillId="10" borderId="74" xfId="2" applyFill="1" applyBorder="1" applyAlignment="1" applyProtection="1">
      <alignment horizontal="left" vertical="center" indent="5"/>
      <protection hidden="1"/>
    </xf>
    <xf numFmtId="0" fontId="2" fillId="10" borderId="73" xfId="2" applyFill="1" applyBorder="1" applyAlignment="1" applyProtection="1">
      <alignment horizontal="left" vertical="center" indent="9"/>
      <protection hidden="1"/>
    </xf>
    <xf numFmtId="0" fontId="2" fillId="10" borderId="6" xfId="2" applyFill="1" applyBorder="1" applyAlignment="1" applyProtection="1">
      <alignment horizontal="left" vertical="center" indent="9"/>
      <protection hidden="1"/>
    </xf>
    <xf numFmtId="0" fontId="2" fillId="10" borderId="74" xfId="2" applyFill="1" applyBorder="1" applyAlignment="1" applyProtection="1">
      <alignment horizontal="left" vertical="center" indent="9"/>
      <protection hidden="1"/>
    </xf>
    <xf numFmtId="0" fontId="22" fillId="10" borderId="69" xfId="2" applyFont="1" applyFill="1" applyBorder="1" applyAlignment="1" applyProtection="1">
      <alignment horizontal="left" vertical="center" indent="6"/>
      <protection hidden="1"/>
    </xf>
    <xf numFmtId="0" fontId="22" fillId="10" borderId="68" xfId="2" applyFont="1" applyFill="1" applyBorder="1" applyAlignment="1" applyProtection="1">
      <alignment horizontal="left" vertical="center" indent="6"/>
      <protection hidden="1"/>
    </xf>
    <xf numFmtId="0" fontId="22" fillId="10" borderId="70" xfId="2" applyFont="1" applyFill="1" applyBorder="1" applyAlignment="1" applyProtection="1">
      <alignment horizontal="left" vertical="center" indent="6"/>
      <protection hidden="1"/>
    </xf>
    <xf numFmtId="0" fontId="142" fillId="10" borderId="71" xfId="2" applyFont="1" applyFill="1" applyBorder="1" applyAlignment="1" applyProtection="1">
      <alignment horizontal="left" vertical="center" indent="7"/>
      <protection hidden="1"/>
    </xf>
    <xf numFmtId="0" fontId="142" fillId="10" borderId="0" xfId="2" applyFont="1" applyFill="1" applyBorder="1" applyAlignment="1" applyProtection="1">
      <alignment horizontal="left" vertical="center" indent="7"/>
      <protection hidden="1"/>
    </xf>
    <xf numFmtId="0" fontId="142" fillId="10" borderId="72" xfId="2" applyFont="1" applyFill="1" applyBorder="1" applyAlignment="1" applyProtection="1">
      <alignment horizontal="left" vertical="center" indent="7"/>
      <protection hidden="1"/>
    </xf>
    <xf numFmtId="0" fontId="2" fillId="10" borderId="71" xfId="2" applyFill="1" applyBorder="1" applyAlignment="1" applyProtection="1">
      <alignment horizontal="left" vertical="center" indent="9"/>
      <protection hidden="1"/>
    </xf>
    <xf numFmtId="0" fontId="2" fillId="10" borderId="0" xfId="2" applyFill="1" applyBorder="1" applyAlignment="1" applyProtection="1">
      <alignment horizontal="left" vertical="center" indent="9"/>
      <protection hidden="1"/>
    </xf>
    <xf numFmtId="0" fontId="2" fillId="10" borderId="72" xfId="2" applyFill="1" applyBorder="1" applyAlignment="1" applyProtection="1">
      <alignment horizontal="left" vertical="center" indent="9"/>
      <protection hidden="1"/>
    </xf>
    <xf numFmtId="0" fontId="13" fillId="21" borderId="8" xfId="0" applyFont="1" applyFill="1" applyBorder="1" applyAlignment="1" applyProtection="1">
      <alignment horizontal="center" vertical="center" wrapText="1"/>
      <protection hidden="1"/>
    </xf>
    <xf numFmtId="0" fontId="14" fillId="20" borderId="4" xfId="0" applyFont="1" applyFill="1" applyBorder="1" applyAlignment="1" applyProtection="1">
      <alignment horizontal="center" vertical="center" wrapText="1"/>
      <protection locked="0"/>
    </xf>
    <xf numFmtId="2" fontId="2" fillId="4" borderId="32" xfId="1" applyNumberFormat="1" applyFont="1" applyFill="1" applyBorder="1" applyAlignment="1" applyProtection="1">
      <alignment horizontal="center" vertical="center" wrapText="1"/>
      <protection hidden="1"/>
    </xf>
    <xf numFmtId="2" fontId="2" fillId="4" borderId="33" xfId="1" applyNumberFormat="1" applyFont="1" applyFill="1" applyBorder="1" applyAlignment="1" applyProtection="1">
      <alignment horizontal="center" vertical="center" wrapText="1"/>
      <protection hidden="1"/>
    </xf>
    <xf numFmtId="166" fontId="14" fillId="10" borderId="4" xfId="0" applyNumberFormat="1" applyFont="1" applyFill="1" applyBorder="1" applyAlignment="1" applyProtection="1">
      <alignment horizontal="center" vertical="center" wrapText="1"/>
      <protection hidden="1"/>
    </xf>
    <xf numFmtId="0" fontId="2" fillId="0" borderId="25" xfId="2" applyFont="1" applyFill="1" applyBorder="1" applyAlignment="1">
      <alignment horizontal="left" vertical="center" wrapText="1" indent="1"/>
    </xf>
    <xf numFmtId="0" fontId="2" fillId="0" borderId="26" xfId="2" applyFont="1" applyFill="1" applyBorder="1" applyAlignment="1">
      <alignment horizontal="left" vertical="center" wrapText="1" indent="1"/>
    </xf>
    <xf numFmtId="0" fontId="2" fillId="0" borderId="27" xfId="2" applyFont="1" applyFill="1" applyBorder="1" applyAlignment="1">
      <alignment horizontal="left" vertical="center" wrapText="1" indent="1"/>
    </xf>
    <xf numFmtId="0" fontId="8" fillId="18" borderId="28" xfId="2" applyFont="1" applyFill="1" applyBorder="1" applyAlignment="1" applyProtection="1">
      <alignment horizontal="center" vertical="center"/>
      <protection hidden="1"/>
    </xf>
    <xf numFmtId="0" fontId="8" fillId="18" borderId="30" xfId="2" applyFont="1" applyFill="1" applyBorder="1" applyAlignment="1" applyProtection="1">
      <alignment horizontal="center" vertical="center"/>
      <protection hidden="1"/>
    </xf>
    <xf numFmtId="0" fontId="2" fillId="0" borderId="28" xfId="2" applyFont="1" applyFill="1" applyBorder="1" applyAlignment="1">
      <alignment horizontal="left" vertical="center" wrapText="1" indent="1"/>
    </xf>
    <xf numFmtId="0" fontId="2" fillId="0" borderId="29" xfId="2" applyFont="1" applyFill="1" applyBorder="1" applyAlignment="1">
      <alignment horizontal="left" vertical="center" wrapText="1" indent="1"/>
    </xf>
    <xf numFmtId="0" fontId="2" fillId="0" borderId="30" xfId="2" applyFont="1" applyFill="1" applyBorder="1" applyAlignment="1">
      <alignment horizontal="left" vertical="center" wrapText="1" indent="1"/>
    </xf>
    <xf numFmtId="0" fontId="2" fillId="10" borderId="63" xfId="2" applyFill="1" applyBorder="1" applyAlignment="1">
      <alignment horizontal="left" indent="7"/>
    </xf>
    <xf numFmtId="0" fontId="2" fillId="10" borderId="0" xfId="2" applyFill="1" applyBorder="1" applyAlignment="1">
      <alignment horizontal="left" indent="7"/>
    </xf>
    <xf numFmtId="0" fontId="2" fillId="10" borderId="64" xfId="2" applyFill="1" applyBorder="1" applyAlignment="1">
      <alignment horizontal="left" indent="7"/>
    </xf>
    <xf numFmtId="0" fontId="2" fillId="10" borderId="25" xfId="2" applyFill="1" applyBorder="1" applyAlignment="1">
      <alignment horizontal="left" indent="7"/>
    </xf>
    <xf numFmtId="0" fontId="2" fillId="10" borderId="26" xfId="2" applyFill="1" applyBorder="1" applyAlignment="1">
      <alignment horizontal="left" indent="7"/>
    </xf>
    <xf numFmtId="0" fontId="2" fillId="10" borderId="27" xfId="2" applyFill="1" applyBorder="1" applyAlignment="1">
      <alignment horizontal="left" indent="7"/>
    </xf>
    <xf numFmtId="0" fontId="2" fillId="10" borderId="60" xfId="2" applyFill="1" applyBorder="1" applyAlignment="1">
      <alignment horizontal="left" indent="6"/>
    </xf>
    <xf numFmtId="0" fontId="2" fillId="10" borderId="61" xfId="2" applyFill="1" applyBorder="1" applyAlignment="1">
      <alignment horizontal="left" indent="6"/>
    </xf>
    <xf numFmtId="0" fontId="2" fillId="10" borderId="62" xfId="2" applyFill="1" applyBorder="1" applyAlignment="1">
      <alignment horizontal="left" indent="6"/>
    </xf>
    <xf numFmtId="0" fontId="2" fillId="10" borderId="63" xfId="2" applyFill="1" applyBorder="1" applyAlignment="1">
      <alignment horizontal="left" indent="8"/>
    </xf>
    <xf numFmtId="0" fontId="2" fillId="10" borderId="0" xfId="2" applyFill="1" applyBorder="1" applyAlignment="1">
      <alignment horizontal="left" indent="8"/>
    </xf>
    <xf numFmtId="0" fontId="2" fillId="10" borderId="64" xfId="2" applyFill="1" applyBorder="1" applyAlignment="1">
      <alignment horizontal="left" indent="8"/>
    </xf>
    <xf numFmtId="0" fontId="17" fillId="21" borderId="4" xfId="0" applyFont="1" applyFill="1" applyBorder="1" applyAlignment="1" applyProtection="1">
      <alignment horizontal="center" vertical="center"/>
      <protection hidden="1"/>
    </xf>
    <xf numFmtId="0" fontId="2" fillId="10" borderId="60" xfId="2" applyFill="1" applyBorder="1" applyAlignment="1">
      <alignment horizontal="left" indent="5"/>
    </xf>
    <xf numFmtId="0" fontId="2" fillId="10" borderId="61" xfId="2" applyFill="1" applyBorder="1" applyAlignment="1">
      <alignment horizontal="left" indent="5"/>
    </xf>
    <xf numFmtId="0" fontId="2" fillId="10" borderId="62" xfId="2" applyFill="1" applyBorder="1" applyAlignment="1">
      <alignment horizontal="left" indent="5"/>
    </xf>
    <xf numFmtId="0" fontId="2" fillId="10" borderId="25" xfId="2" applyFill="1" applyBorder="1" applyAlignment="1">
      <alignment horizontal="left" indent="8"/>
    </xf>
    <xf numFmtId="0" fontId="2" fillId="10" borderId="26" xfId="2" applyFill="1" applyBorder="1" applyAlignment="1">
      <alignment horizontal="left" indent="8"/>
    </xf>
    <xf numFmtId="0" fontId="2" fillId="10" borderId="27" xfId="2" applyFill="1" applyBorder="1" applyAlignment="1">
      <alignment horizontal="left" indent="8"/>
    </xf>
    <xf numFmtId="164" fontId="8" fillId="9" borderId="4" xfId="1" applyNumberFormat="1" applyFont="1" applyFill="1" applyBorder="1" applyAlignment="1" applyProtection="1">
      <alignment horizontal="center" vertical="center" wrapText="1"/>
      <protection hidden="1"/>
    </xf>
    <xf numFmtId="0" fontId="17" fillId="21" borderId="4" xfId="2" applyFont="1" applyFill="1" applyBorder="1" applyAlignment="1">
      <alignment horizontal="center" vertical="center" wrapText="1"/>
    </xf>
    <xf numFmtId="0" fontId="21" fillId="26" borderId="0" xfId="2" applyFont="1" applyFill="1" applyAlignment="1">
      <alignment horizontal="left" vertical="center" wrapText="1" indent="5"/>
    </xf>
    <xf numFmtId="0" fontId="50" fillId="8" borderId="4" xfId="0" applyFont="1" applyFill="1" applyBorder="1" applyAlignment="1">
      <alignment horizontal="center" vertical="center" wrapText="1"/>
    </xf>
    <xf numFmtId="0" fontId="50" fillId="8" borderId="37" xfId="0" applyFont="1" applyFill="1" applyBorder="1" applyAlignment="1">
      <alignment horizontal="center" vertical="center" wrapText="1"/>
    </xf>
    <xf numFmtId="0" fontId="50" fillId="8" borderId="31" xfId="0" applyFont="1" applyFill="1" applyBorder="1" applyAlignment="1">
      <alignment horizontal="center" vertical="center" wrapText="1"/>
    </xf>
    <xf numFmtId="0" fontId="2" fillId="26" borderId="3" xfId="2" applyFill="1" applyBorder="1" applyAlignment="1" applyProtection="1">
      <alignment horizontal="center" vertical="center"/>
      <protection hidden="1"/>
    </xf>
    <xf numFmtId="0" fontId="2" fillId="10" borderId="71" xfId="2" applyFill="1" applyBorder="1" applyAlignment="1" applyProtection="1">
      <alignment horizontal="left" vertical="center" wrapText="1" indent="6"/>
      <protection hidden="1"/>
    </xf>
    <xf numFmtId="0" fontId="2" fillId="10" borderId="0" xfId="2" applyFill="1" applyBorder="1" applyAlignment="1" applyProtection="1">
      <alignment horizontal="left" vertical="center" wrapText="1" indent="6"/>
      <protection hidden="1"/>
    </xf>
    <xf numFmtId="0" fontId="2" fillId="10" borderId="72" xfId="2" applyFill="1" applyBorder="1" applyAlignment="1" applyProtection="1">
      <alignment horizontal="left" vertical="center" wrapText="1" indent="6"/>
      <protection hidden="1"/>
    </xf>
    <xf numFmtId="0" fontId="2" fillId="10" borderId="73" xfId="2" applyFill="1" applyBorder="1" applyAlignment="1" applyProtection="1">
      <alignment horizontal="left" vertical="center" wrapText="1" indent="6"/>
      <protection hidden="1"/>
    </xf>
    <xf numFmtId="0" fontId="2" fillId="10" borderId="6" xfId="2" applyFill="1" applyBorder="1" applyAlignment="1" applyProtection="1">
      <alignment horizontal="left" vertical="center" wrapText="1" indent="6"/>
      <protection hidden="1"/>
    </xf>
    <xf numFmtId="0" fontId="2" fillId="10" borderId="74" xfId="2" applyFill="1" applyBorder="1" applyAlignment="1" applyProtection="1">
      <alignment horizontal="left" vertical="center" wrapText="1" indent="6"/>
      <protection hidden="1"/>
    </xf>
    <xf numFmtId="0" fontId="50" fillId="8" borderId="17" xfId="0" applyFont="1" applyFill="1" applyBorder="1" applyAlignment="1">
      <alignment horizontal="center" vertical="center" wrapText="1"/>
    </xf>
    <xf numFmtId="0" fontId="50" fillId="8" borderId="95" xfId="0" applyFont="1" applyFill="1" applyBorder="1" applyAlignment="1">
      <alignment horizontal="center" vertical="center" wrapText="1"/>
    </xf>
    <xf numFmtId="0" fontId="50" fillId="8" borderId="94" xfId="0" applyFont="1" applyFill="1" applyBorder="1" applyAlignment="1">
      <alignment horizontal="center" vertical="center" wrapText="1"/>
    </xf>
    <xf numFmtId="0" fontId="17" fillId="8" borderId="4" xfId="2" applyFont="1" applyFill="1" applyBorder="1" applyAlignment="1">
      <alignment horizontal="center" vertical="center"/>
    </xf>
    <xf numFmtId="0" fontId="14" fillId="15" borderId="4" xfId="0" applyFont="1" applyFill="1" applyBorder="1" applyAlignment="1">
      <alignment horizontal="center" vertical="center" wrapText="1"/>
    </xf>
    <xf numFmtId="0" fontId="2" fillId="4" borderId="10" xfId="0" applyFont="1" applyFill="1" applyBorder="1" applyAlignment="1" applyProtection="1">
      <alignment vertical="center" wrapText="1"/>
      <protection hidden="1"/>
    </xf>
    <xf numFmtId="0" fontId="2" fillId="4" borderId="7" xfId="0" applyFont="1" applyFill="1" applyBorder="1" applyAlignment="1" applyProtection="1">
      <alignment vertical="center" wrapText="1"/>
      <protection hidden="1"/>
    </xf>
    <xf numFmtId="0" fontId="2" fillId="4" borderId="8" xfId="0" applyFont="1" applyFill="1" applyBorder="1" applyAlignment="1" applyProtection="1">
      <alignment vertical="center" wrapText="1"/>
      <protection hidden="1"/>
    </xf>
    <xf numFmtId="0" fontId="14" fillId="20" borderId="4" xfId="0" applyFont="1" applyFill="1" applyBorder="1" applyAlignment="1" applyProtection="1">
      <alignment horizontal="center" vertical="center" wrapText="1"/>
      <protection locked="0" hidden="1"/>
    </xf>
    <xf numFmtId="0" fontId="2" fillId="4" borderId="4" xfId="0" applyFont="1" applyFill="1" applyBorder="1" applyAlignment="1" applyProtection="1">
      <alignment horizontal="left" vertical="center" wrapText="1"/>
      <protection hidden="1"/>
    </xf>
    <xf numFmtId="0" fontId="2" fillId="4" borderId="4" xfId="0" applyFont="1" applyFill="1" applyBorder="1" applyAlignment="1" applyProtection="1">
      <alignment horizontal="left" vertical="center" wrapText="1" indent="1"/>
      <protection hidden="1"/>
    </xf>
    <xf numFmtId="0" fontId="21" fillId="26" borderId="0" xfId="0" applyFont="1" applyFill="1" applyBorder="1" applyAlignment="1" applyProtection="1">
      <alignment horizontal="left" vertical="center" wrapText="1" indent="5"/>
      <protection hidden="1"/>
    </xf>
    <xf numFmtId="0" fontId="11" fillId="21" borderId="3" xfId="0" applyFont="1" applyFill="1" applyBorder="1" applyAlignment="1" applyProtection="1">
      <alignment horizontal="center" vertical="center" wrapText="1"/>
      <protection hidden="1"/>
    </xf>
    <xf numFmtId="0" fontId="150" fillId="26" borderId="38" xfId="2" applyFont="1" applyFill="1" applyBorder="1" applyAlignment="1" applyProtection="1">
      <alignment horizontal="center" vertical="center" wrapText="1"/>
      <protection hidden="1"/>
    </xf>
    <xf numFmtId="0" fontId="150" fillId="26" borderId="0" xfId="2" applyFont="1" applyFill="1" applyBorder="1" applyAlignment="1" applyProtection="1">
      <alignment horizontal="center" vertical="center" wrapText="1"/>
      <protection hidden="1"/>
    </xf>
    <xf numFmtId="0" fontId="17" fillId="21" borderId="10" xfId="0" applyFont="1" applyFill="1" applyBorder="1" applyAlignment="1" applyProtection="1">
      <alignment horizontal="center" vertical="center"/>
      <protection hidden="1"/>
    </xf>
    <xf numFmtId="0" fontId="17" fillId="21" borderId="7" xfId="0" applyFont="1" applyFill="1" applyBorder="1" applyAlignment="1" applyProtection="1">
      <alignment horizontal="center" vertical="center"/>
      <protection hidden="1"/>
    </xf>
    <xf numFmtId="0" fontId="17" fillId="21" borderId="8" xfId="0" applyFont="1" applyFill="1" applyBorder="1" applyAlignment="1" applyProtection="1">
      <alignment horizontal="center" vertical="center"/>
      <protection hidden="1"/>
    </xf>
    <xf numFmtId="0" fontId="21" fillId="25" borderId="0" xfId="0" applyFont="1" applyFill="1" applyBorder="1" applyAlignment="1" applyProtection="1">
      <alignment horizontal="left" vertical="center" wrapText="1" indent="5"/>
      <protection hidden="1"/>
    </xf>
    <xf numFmtId="0" fontId="34" fillId="15" borderId="4" xfId="0" applyFont="1" applyFill="1" applyBorder="1" applyAlignment="1">
      <alignment horizontal="center" vertical="center" wrapText="1"/>
    </xf>
    <xf numFmtId="0" fontId="2" fillId="10" borderId="60" xfId="0" applyFont="1" applyFill="1" applyBorder="1" applyAlignment="1" applyProtection="1">
      <alignment horizontal="left" vertical="center" indent="6"/>
      <protection hidden="1"/>
    </xf>
    <xf numFmtId="0" fontId="2" fillId="10" borderId="61" xfId="0" applyFont="1" applyFill="1" applyBorder="1" applyAlignment="1" applyProtection="1">
      <alignment horizontal="left" vertical="center" indent="6"/>
      <protection hidden="1"/>
    </xf>
    <xf numFmtId="0" fontId="2" fillId="10" borderId="62" xfId="0" applyFont="1" applyFill="1" applyBorder="1" applyAlignment="1" applyProtection="1">
      <alignment horizontal="left" vertical="center" indent="6"/>
      <protection hidden="1"/>
    </xf>
    <xf numFmtId="0" fontId="2" fillId="10" borderId="63" xfId="0" applyFont="1" applyFill="1" applyBorder="1" applyAlignment="1" applyProtection="1">
      <alignment horizontal="left" vertical="center" indent="7"/>
      <protection hidden="1"/>
    </xf>
    <xf numFmtId="0" fontId="2" fillId="10" borderId="0" xfId="0" applyFont="1" applyFill="1" applyBorder="1" applyAlignment="1" applyProtection="1">
      <alignment horizontal="left" vertical="center" indent="7"/>
      <protection hidden="1"/>
    </xf>
    <xf numFmtId="0" fontId="2" fillId="10" borderId="64" xfId="0" applyFont="1" applyFill="1" applyBorder="1" applyAlignment="1" applyProtection="1">
      <alignment horizontal="left" vertical="center" indent="7"/>
      <protection hidden="1"/>
    </xf>
    <xf numFmtId="0" fontId="2" fillId="10" borderId="25" xfId="0" applyFont="1" applyFill="1" applyBorder="1" applyAlignment="1" applyProtection="1">
      <alignment horizontal="left" vertical="center" indent="7"/>
      <protection hidden="1"/>
    </xf>
    <xf numFmtId="0" fontId="2" fillId="10" borderId="26" xfId="0" applyFont="1" applyFill="1" applyBorder="1" applyAlignment="1" applyProtection="1">
      <alignment horizontal="left" vertical="center" indent="7"/>
      <protection hidden="1"/>
    </xf>
    <xf numFmtId="0" fontId="2" fillId="10" borderId="27" xfId="0" applyFont="1" applyFill="1" applyBorder="1" applyAlignment="1" applyProtection="1">
      <alignment horizontal="left" vertical="center" indent="7"/>
      <protection hidden="1"/>
    </xf>
    <xf numFmtId="0" fontId="2" fillId="26" borderId="0" xfId="2" applyFill="1" applyBorder="1" applyAlignment="1" applyProtection="1">
      <alignment horizontal="center"/>
      <protection hidden="1"/>
    </xf>
    <xf numFmtId="0" fontId="22" fillId="11" borderId="62" xfId="2" applyFont="1" applyFill="1" applyBorder="1" applyAlignment="1" applyProtection="1">
      <alignment horizontal="center" vertical="center"/>
      <protection hidden="1"/>
    </xf>
    <xf numFmtId="0" fontId="22" fillId="11" borderId="64" xfId="2" applyFont="1" applyFill="1" applyBorder="1" applyAlignment="1" applyProtection="1">
      <alignment horizontal="center" vertical="center"/>
      <protection hidden="1"/>
    </xf>
    <xf numFmtId="0" fontId="22" fillId="11" borderId="27" xfId="2" applyFont="1" applyFill="1" applyBorder="1" applyAlignment="1" applyProtection="1">
      <alignment horizontal="center" vertical="center"/>
      <protection hidden="1"/>
    </xf>
    <xf numFmtId="0" fontId="2" fillId="11" borderId="73" xfId="2" quotePrefix="1" applyFont="1" applyFill="1" applyBorder="1" applyAlignment="1">
      <alignment horizontal="left" vertical="center" wrapText="1" indent="1"/>
    </xf>
    <xf numFmtId="0" fontId="2" fillId="11" borderId="6" xfId="2" applyFont="1" applyFill="1" applyBorder="1" applyAlignment="1">
      <alignment horizontal="left" vertical="center" wrapText="1" indent="1"/>
    </xf>
    <xf numFmtId="0" fontId="2" fillId="11" borderId="74" xfId="2" applyFont="1" applyFill="1" applyBorder="1" applyAlignment="1">
      <alignment horizontal="left" vertical="center" wrapText="1" indent="1"/>
    </xf>
    <xf numFmtId="0" fontId="14" fillId="15" borderId="37" xfId="0" applyFont="1" applyFill="1" applyBorder="1" applyAlignment="1">
      <alignment horizontal="left" vertical="center" wrapText="1"/>
    </xf>
    <xf numFmtId="0" fontId="14" fillId="15" borderId="75" xfId="0" applyFont="1" applyFill="1" applyBorder="1" applyAlignment="1">
      <alignment horizontal="left" vertical="center" wrapText="1"/>
    </xf>
    <xf numFmtId="0" fontId="14" fillId="15" borderId="31" xfId="0" applyFont="1" applyFill="1" applyBorder="1" applyAlignment="1">
      <alignment horizontal="left" vertical="center" wrapText="1"/>
    </xf>
    <xf numFmtId="0" fontId="50" fillId="21" borderId="0" xfId="0" applyFont="1" applyFill="1" applyAlignment="1">
      <alignment horizontal="center" vertical="center" wrapText="1"/>
    </xf>
    <xf numFmtId="0" fontId="50" fillId="21" borderId="3" xfId="0" applyFont="1" applyFill="1" applyBorder="1" applyAlignment="1">
      <alignment horizontal="center" vertical="center" wrapText="1"/>
    </xf>
    <xf numFmtId="0" fontId="14" fillId="15" borderId="37" xfId="0" applyFont="1" applyFill="1" applyBorder="1" applyAlignment="1">
      <alignment horizontal="center" vertical="center" wrapText="1"/>
    </xf>
    <xf numFmtId="0" fontId="14" fillId="15" borderId="31" xfId="0" applyFont="1" applyFill="1" applyBorder="1" applyAlignment="1">
      <alignment horizontal="center" vertical="center" wrapText="1"/>
    </xf>
    <xf numFmtId="0" fontId="14" fillId="15" borderId="75" xfId="0" applyFont="1" applyFill="1" applyBorder="1" applyAlignment="1">
      <alignment horizontal="center" vertical="center" wrapText="1"/>
    </xf>
    <xf numFmtId="0" fontId="22" fillId="11" borderId="67" xfId="2" applyFont="1" applyFill="1" applyBorder="1" applyAlignment="1" applyProtection="1">
      <alignment horizontal="center" vertical="center"/>
      <protection hidden="1"/>
    </xf>
    <xf numFmtId="0" fontId="22" fillId="11" borderId="66" xfId="2" applyFont="1" applyFill="1" applyBorder="1" applyAlignment="1" applyProtection="1">
      <alignment horizontal="center" vertical="center"/>
      <protection hidden="1"/>
    </xf>
    <xf numFmtId="0" fontId="22" fillId="11" borderId="1" xfId="2" applyFont="1" applyFill="1" applyBorder="1" applyAlignment="1" applyProtection="1">
      <alignment horizontal="center" vertical="center"/>
      <protection hidden="1"/>
    </xf>
    <xf numFmtId="0" fontId="11" fillId="21" borderId="77" xfId="0" applyFont="1" applyFill="1" applyBorder="1" applyAlignment="1" applyProtection="1">
      <alignment horizontal="center" vertical="center" wrapText="1"/>
      <protection hidden="1"/>
    </xf>
    <xf numFmtId="0" fontId="11" fillId="21" borderId="79" xfId="0" applyFont="1" applyFill="1" applyBorder="1" applyAlignment="1" applyProtection="1">
      <alignment horizontal="center" vertical="center" wrapText="1"/>
      <protection hidden="1"/>
    </xf>
    <xf numFmtId="0" fontId="11" fillId="21" borderId="78" xfId="0" applyFont="1" applyFill="1" applyBorder="1" applyAlignment="1" applyProtection="1">
      <alignment horizontal="center" vertical="center" wrapText="1"/>
      <protection hidden="1"/>
    </xf>
    <xf numFmtId="0" fontId="20" fillId="21" borderId="60" xfId="2" applyFont="1" applyFill="1" applyBorder="1" applyAlignment="1" applyProtection="1">
      <alignment horizontal="left" vertical="center" wrapText="1" indent="1"/>
      <protection hidden="1"/>
    </xf>
    <xf numFmtId="0" fontId="20" fillId="21" borderId="61" xfId="2" applyFont="1" applyFill="1" applyBorder="1" applyAlignment="1" applyProtection="1">
      <alignment horizontal="left" vertical="center" wrapText="1" indent="1"/>
      <protection hidden="1"/>
    </xf>
    <xf numFmtId="0" fontId="2" fillId="10" borderId="60" xfId="2" applyFont="1" applyFill="1" applyBorder="1" applyAlignment="1" applyProtection="1">
      <alignment horizontal="left" wrapText="1" indent="7"/>
      <protection hidden="1"/>
    </xf>
    <xf numFmtId="0" fontId="2" fillId="10" borderId="61" xfId="2" applyFont="1" applyFill="1" applyBorder="1" applyAlignment="1" applyProtection="1">
      <alignment horizontal="left" indent="7"/>
      <protection hidden="1"/>
    </xf>
    <xf numFmtId="0" fontId="2" fillId="10" borderId="62" xfId="2" applyFont="1" applyFill="1" applyBorder="1" applyAlignment="1" applyProtection="1">
      <alignment horizontal="left" indent="7"/>
      <protection hidden="1"/>
    </xf>
    <xf numFmtId="0" fontId="2" fillId="10" borderId="25" xfId="2" applyFont="1" applyFill="1" applyBorder="1" applyAlignment="1" applyProtection="1">
      <alignment horizontal="left" vertical="center" wrapText="1" indent="7"/>
      <protection hidden="1"/>
    </xf>
    <xf numFmtId="0" fontId="2" fillId="10" borderId="26" xfId="2" applyFont="1" applyFill="1" applyBorder="1" applyAlignment="1" applyProtection="1">
      <alignment horizontal="left" vertical="center" indent="7"/>
      <protection hidden="1"/>
    </xf>
    <xf numFmtId="0" fontId="2" fillId="10" borderId="27" xfId="2" applyFont="1" applyFill="1" applyBorder="1" applyAlignment="1" applyProtection="1">
      <alignment horizontal="left" vertical="center" indent="7"/>
      <protection hidden="1"/>
    </xf>
    <xf numFmtId="0" fontId="22" fillId="34" borderId="20" xfId="2" applyFont="1" applyFill="1" applyBorder="1" applyAlignment="1">
      <alignment horizontal="left" vertical="center" wrapText="1" indent="1"/>
    </xf>
    <xf numFmtId="0" fontId="22" fillId="34" borderId="24" xfId="2" applyFont="1" applyFill="1" applyBorder="1" applyAlignment="1">
      <alignment horizontal="left" vertical="center" wrapText="1" indent="1"/>
    </xf>
    <xf numFmtId="0" fontId="22" fillId="34" borderId="21" xfId="2" applyFont="1" applyFill="1" applyBorder="1" applyAlignment="1">
      <alignment horizontal="left" vertical="center" wrapText="1" indent="1"/>
    </xf>
    <xf numFmtId="0" fontId="22" fillId="26" borderId="20" xfId="2" applyFont="1" applyFill="1" applyBorder="1" applyAlignment="1">
      <alignment horizontal="left" vertical="center" wrapText="1" indent="1"/>
    </xf>
    <xf numFmtId="0" fontId="22" fillId="26" borderId="24" xfId="2" applyFont="1" applyFill="1" applyBorder="1" applyAlignment="1">
      <alignment horizontal="left" vertical="center" wrapText="1" indent="1"/>
    </xf>
    <xf numFmtId="0" fontId="22" fillId="26" borderId="21" xfId="2" applyFont="1" applyFill="1" applyBorder="1" applyAlignment="1">
      <alignment horizontal="left" vertical="center" wrapText="1" indent="1"/>
    </xf>
    <xf numFmtId="0" fontId="2" fillId="11" borderId="71" xfId="2" applyFont="1" applyFill="1" applyBorder="1" applyAlignment="1">
      <alignment horizontal="left" vertical="center" wrapText="1" indent="1"/>
    </xf>
    <xf numFmtId="0" fontId="2" fillId="11" borderId="0" xfId="2" applyFont="1" applyFill="1" applyBorder="1" applyAlignment="1">
      <alignment horizontal="left" vertical="center" wrapText="1" indent="1"/>
    </xf>
    <xf numFmtId="0" fontId="2" fillId="11" borderId="72" xfId="2" applyFont="1" applyFill="1" applyBorder="1" applyAlignment="1">
      <alignment horizontal="left" vertical="center" wrapText="1" indent="1"/>
    </xf>
    <xf numFmtId="0" fontId="2" fillId="4" borderId="31" xfId="0" applyFont="1" applyFill="1" applyBorder="1" applyAlignment="1" applyProtection="1">
      <alignment horizontal="left" vertical="center" wrapText="1"/>
      <protection hidden="1"/>
    </xf>
    <xf numFmtId="0" fontId="2" fillId="10" borderId="60" xfId="2" applyFill="1" applyBorder="1" applyAlignment="1" applyProtection="1">
      <alignment horizontal="left" indent="5"/>
      <protection hidden="1"/>
    </xf>
    <xf numFmtId="0" fontId="2" fillId="10" borderId="61" xfId="2" applyFill="1" applyBorder="1" applyAlignment="1" applyProtection="1">
      <alignment horizontal="left" indent="5"/>
      <protection hidden="1"/>
    </xf>
    <xf numFmtId="0" fontId="2" fillId="10" borderId="62" xfId="2" applyFill="1" applyBorder="1" applyAlignment="1" applyProtection="1">
      <alignment horizontal="left" indent="5"/>
      <protection hidden="1"/>
    </xf>
    <xf numFmtId="0" fontId="14" fillId="20" borderId="31" xfId="0" applyFont="1" applyFill="1" applyBorder="1" applyAlignment="1" applyProtection="1">
      <alignment horizontal="center" vertical="center" wrapText="1"/>
      <protection locked="0" hidden="1"/>
    </xf>
    <xf numFmtId="0" fontId="8" fillId="18" borderId="28" xfId="2" applyFont="1" applyFill="1" applyBorder="1" applyAlignment="1" applyProtection="1">
      <alignment horizontal="center"/>
      <protection hidden="1"/>
    </xf>
    <xf numFmtId="0" fontId="8" fillId="18" borderId="30" xfId="2" applyFont="1" applyFill="1" applyBorder="1" applyAlignment="1" applyProtection="1">
      <alignment horizontal="center"/>
      <protection hidden="1"/>
    </xf>
    <xf numFmtId="0" fontId="22" fillId="11" borderId="71" xfId="2" quotePrefix="1" applyFont="1" applyFill="1" applyBorder="1" applyAlignment="1">
      <alignment horizontal="left" vertical="center" wrapText="1" indent="1"/>
    </xf>
    <xf numFmtId="0" fontId="22" fillId="11" borderId="0" xfId="2" applyFont="1" applyFill="1" applyBorder="1" applyAlignment="1">
      <alignment horizontal="left" vertical="center" wrapText="1" indent="1"/>
    </xf>
    <xf numFmtId="0" fontId="22" fillId="11" borderId="72" xfId="2" applyFont="1" applyFill="1" applyBorder="1" applyAlignment="1">
      <alignment horizontal="left" vertical="center" wrapText="1" indent="1"/>
    </xf>
    <xf numFmtId="0" fontId="22" fillId="26" borderId="0" xfId="2" applyFont="1" applyFill="1" applyAlignment="1" applyProtection="1">
      <alignment horizontal="left" wrapText="1" indent="5"/>
      <protection hidden="1"/>
    </xf>
    <xf numFmtId="0" fontId="2" fillId="10" borderId="63" xfId="2" applyFill="1" applyBorder="1" applyAlignment="1" applyProtection="1">
      <alignment horizontal="left" indent="7"/>
      <protection hidden="1"/>
    </xf>
    <xf numFmtId="0" fontId="2" fillId="10" borderId="0" xfId="2" applyFill="1" applyBorder="1" applyAlignment="1" applyProtection="1">
      <alignment horizontal="left" indent="7"/>
      <protection hidden="1"/>
    </xf>
    <xf numFmtId="0" fontId="2" fillId="10" borderId="64" xfId="2" applyFill="1" applyBorder="1" applyAlignment="1" applyProtection="1">
      <alignment horizontal="left" indent="7"/>
      <protection hidden="1"/>
    </xf>
    <xf numFmtId="0" fontId="2" fillId="10" borderId="25" xfId="2" applyFill="1" applyBorder="1" applyAlignment="1" applyProtection="1">
      <alignment horizontal="left" wrapText="1" indent="7"/>
      <protection hidden="1"/>
    </xf>
    <xf numFmtId="0" fontId="2" fillId="10" borderId="26" xfId="2" applyFill="1" applyBorder="1" applyAlignment="1" applyProtection="1">
      <alignment horizontal="left" wrapText="1" indent="7"/>
      <protection hidden="1"/>
    </xf>
    <xf numFmtId="0" fontId="2" fillId="10" borderId="27" xfId="2" applyFill="1" applyBorder="1" applyAlignment="1" applyProtection="1">
      <alignment horizontal="left" wrapText="1" indent="7"/>
      <protection hidden="1"/>
    </xf>
    <xf numFmtId="0" fontId="22" fillId="25" borderId="0" xfId="2" applyFont="1" applyFill="1" applyAlignment="1" applyProtection="1">
      <alignment horizontal="left" wrapText="1" indent="5"/>
      <protection hidden="1"/>
    </xf>
    <xf numFmtId="0" fontId="22" fillId="25" borderId="0" xfId="2" applyFont="1" applyFill="1" applyAlignment="1" applyProtection="1">
      <alignment horizontal="left" indent="5"/>
      <protection hidden="1"/>
    </xf>
    <xf numFmtId="0" fontId="50" fillId="21" borderId="0" xfId="0" applyFont="1" applyFill="1" applyAlignment="1">
      <alignment horizontal="left" vertical="center" wrapText="1"/>
    </xf>
    <xf numFmtId="0" fontId="50" fillId="21" borderId="0" xfId="0" applyFont="1" applyFill="1" applyBorder="1" applyAlignment="1">
      <alignment horizontal="left" vertical="center" wrapText="1"/>
    </xf>
    <xf numFmtId="0" fontId="50" fillId="21" borderId="0" xfId="0" applyFont="1" applyFill="1" applyBorder="1" applyAlignment="1">
      <alignment horizontal="center" vertical="center" wrapText="1"/>
    </xf>
    <xf numFmtId="0" fontId="14" fillId="15" borderId="4" xfId="0" applyFont="1" applyFill="1" applyBorder="1" applyAlignment="1">
      <alignment horizontal="left" vertical="center" wrapText="1"/>
    </xf>
    <xf numFmtId="0" fontId="17" fillId="21" borderId="65" xfId="0" applyFont="1" applyFill="1" applyBorder="1" applyAlignment="1" applyProtection="1">
      <alignment horizontal="center" vertical="center"/>
      <protection hidden="1"/>
    </xf>
    <xf numFmtId="0" fontId="2" fillId="11" borderId="73" xfId="2" applyFont="1" applyFill="1" applyBorder="1" applyAlignment="1">
      <alignment horizontal="left" vertical="center" wrapText="1" indent="1"/>
    </xf>
    <xf numFmtId="0" fontId="22" fillId="10" borderId="25" xfId="2" applyFont="1" applyFill="1" applyBorder="1" applyAlignment="1">
      <alignment horizontal="left" vertical="center" wrapText="1" indent="1"/>
    </xf>
    <xf numFmtId="0" fontId="22" fillId="10" borderId="26" xfId="2" applyFont="1" applyFill="1" applyBorder="1" applyAlignment="1">
      <alignment horizontal="left" vertical="center" wrapText="1" indent="1"/>
    </xf>
    <xf numFmtId="0" fontId="22" fillId="10" borderId="27" xfId="2" applyFont="1" applyFill="1" applyBorder="1" applyAlignment="1">
      <alignment horizontal="left" vertical="center" wrapText="1" indent="1"/>
    </xf>
    <xf numFmtId="0" fontId="21" fillId="26" borderId="0" xfId="2" applyFont="1" applyFill="1" applyAlignment="1" applyProtection="1">
      <alignment horizontal="center" vertical="center"/>
      <protection hidden="1"/>
    </xf>
    <xf numFmtId="0" fontId="13" fillId="21" borderId="10" xfId="0" applyFont="1" applyFill="1" applyBorder="1" applyAlignment="1" applyProtection="1">
      <alignment horizontal="left" vertical="center" wrapText="1" indent="1"/>
      <protection hidden="1"/>
    </xf>
    <xf numFmtId="0" fontId="13" fillId="21" borderId="7" xfId="0" applyFont="1" applyFill="1" applyBorder="1" applyAlignment="1" applyProtection="1">
      <alignment horizontal="left" vertical="center" wrapText="1" indent="1"/>
      <protection hidden="1"/>
    </xf>
    <xf numFmtId="0" fontId="2" fillId="4" borderId="10" xfId="0" applyFont="1" applyFill="1" applyBorder="1" applyAlignment="1" applyProtection="1">
      <alignment horizontal="left" vertical="center" wrapText="1"/>
      <protection hidden="1"/>
    </xf>
    <xf numFmtId="0" fontId="2" fillId="4" borderId="7" xfId="0" applyFont="1" applyFill="1" applyBorder="1" applyAlignment="1" applyProtection="1">
      <alignment horizontal="left" vertical="center" wrapText="1"/>
      <protection hidden="1"/>
    </xf>
    <xf numFmtId="0" fontId="2" fillId="4" borderId="8" xfId="0" applyFont="1" applyFill="1" applyBorder="1" applyAlignment="1" applyProtection="1">
      <alignment horizontal="left" vertical="center" wrapText="1"/>
      <protection hidden="1"/>
    </xf>
    <xf numFmtId="0" fontId="2" fillId="10" borderId="69" xfId="2" applyFont="1" applyFill="1" applyBorder="1" applyAlignment="1" applyProtection="1">
      <alignment horizontal="left" wrapText="1" indent="7"/>
      <protection hidden="1"/>
    </xf>
    <xf numFmtId="0" fontId="2" fillId="10" borderId="68" xfId="2" applyFont="1" applyFill="1" applyBorder="1" applyAlignment="1" applyProtection="1">
      <alignment horizontal="left" indent="7"/>
      <protection hidden="1"/>
    </xf>
    <xf numFmtId="0" fontId="2" fillId="10" borderId="70" xfId="2" applyFont="1" applyFill="1" applyBorder="1" applyAlignment="1" applyProtection="1">
      <alignment horizontal="left" indent="7"/>
      <protection hidden="1"/>
    </xf>
    <xf numFmtId="0" fontId="2" fillId="10" borderId="73" xfId="2" applyFont="1" applyFill="1" applyBorder="1" applyAlignment="1" applyProtection="1">
      <alignment horizontal="left" wrapText="1" indent="7"/>
      <protection hidden="1"/>
    </xf>
    <xf numFmtId="0" fontId="2" fillId="10" borderId="6" xfId="2" applyFont="1" applyFill="1" applyBorder="1" applyAlignment="1" applyProtection="1">
      <alignment horizontal="left" indent="7"/>
      <protection hidden="1"/>
    </xf>
    <xf numFmtId="0" fontId="2" fillId="10" borderId="74" xfId="2" applyFont="1" applyFill="1" applyBorder="1" applyAlignment="1" applyProtection="1">
      <alignment horizontal="left" indent="7"/>
      <protection hidden="1"/>
    </xf>
    <xf numFmtId="0" fontId="2" fillId="25" borderId="0" xfId="2" applyFill="1" applyBorder="1" applyAlignment="1" applyProtection="1">
      <alignment horizontal="left" vertical="center" wrapText="1" indent="5"/>
      <protection hidden="1"/>
    </xf>
    <xf numFmtId="0" fontId="2" fillId="11" borderId="25" xfId="2" applyFont="1" applyFill="1" applyBorder="1" applyAlignment="1" applyProtection="1">
      <alignment horizontal="left" vertical="center" wrapText="1" indent="1"/>
      <protection hidden="1"/>
    </xf>
    <xf numFmtId="0" fontId="2" fillId="11" borderId="26" xfId="2" applyFont="1" applyFill="1" applyBorder="1" applyAlignment="1" applyProtection="1">
      <alignment horizontal="left" vertical="center" wrapText="1" indent="1"/>
      <protection hidden="1"/>
    </xf>
    <xf numFmtId="0" fontId="2" fillId="11" borderId="27" xfId="2" applyFont="1" applyFill="1" applyBorder="1" applyAlignment="1" applyProtection="1">
      <alignment horizontal="left" vertical="center" wrapText="1" indent="1"/>
      <protection hidden="1"/>
    </xf>
    <xf numFmtId="0" fontId="11" fillId="21" borderId="10" xfId="0" applyFont="1" applyFill="1" applyBorder="1" applyAlignment="1" applyProtection="1">
      <alignment horizontal="center" vertical="center"/>
      <protection hidden="1"/>
    </xf>
    <xf numFmtId="0" fontId="11" fillId="21" borderId="8" xfId="0" applyFont="1" applyFill="1" applyBorder="1" applyAlignment="1" applyProtection="1">
      <alignment horizontal="center" vertical="center"/>
      <protection hidden="1"/>
    </xf>
    <xf numFmtId="0" fontId="50" fillId="21" borderId="37" xfId="0" applyFont="1" applyFill="1" applyBorder="1" applyAlignment="1" applyProtection="1">
      <alignment horizontal="center" vertical="center" wrapText="1"/>
      <protection hidden="1"/>
    </xf>
    <xf numFmtId="0" fontId="50" fillId="21" borderId="31" xfId="0" applyFont="1" applyFill="1" applyBorder="1" applyAlignment="1" applyProtection="1">
      <alignment horizontal="center" vertical="center" wrapText="1"/>
      <protection hidden="1"/>
    </xf>
    <xf numFmtId="0" fontId="14" fillId="15" borderId="4" xfId="0" applyFont="1" applyFill="1" applyBorder="1" applyAlignment="1" applyProtection="1">
      <alignment horizontal="left" vertical="center" wrapText="1"/>
      <protection hidden="1"/>
    </xf>
    <xf numFmtId="0" fontId="14" fillId="22" borderId="4" xfId="0" applyFont="1" applyFill="1" applyBorder="1" applyAlignment="1" applyProtection="1">
      <alignment horizontal="left" vertical="center" wrapText="1"/>
      <protection hidden="1"/>
    </xf>
    <xf numFmtId="0" fontId="8" fillId="20" borderId="2" xfId="2" applyFont="1" applyFill="1" applyBorder="1" applyAlignment="1" applyProtection="1">
      <alignment horizontal="center" vertical="center"/>
      <protection locked="0"/>
    </xf>
    <xf numFmtId="0" fontId="2" fillId="10" borderId="4" xfId="0" applyFont="1" applyFill="1" applyBorder="1" applyAlignment="1" applyProtection="1">
      <alignment horizontal="left" vertical="center" wrapText="1"/>
      <protection hidden="1"/>
    </xf>
    <xf numFmtId="0" fontId="2" fillId="0" borderId="28" xfId="2" applyFont="1" applyFill="1" applyBorder="1" applyAlignment="1" applyProtection="1">
      <alignment horizontal="left" vertical="center" wrapText="1" indent="1"/>
      <protection hidden="1"/>
    </xf>
    <xf numFmtId="0" fontId="2" fillId="0" borderId="29" xfId="2" applyFont="1" applyFill="1" applyBorder="1" applyAlignment="1" applyProtection="1">
      <alignment horizontal="left" vertical="center" wrapText="1" indent="1"/>
      <protection hidden="1"/>
    </xf>
    <xf numFmtId="0" fontId="2" fillId="0" borderId="30" xfId="2" applyFont="1" applyFill="1" applyBorder="1" applyAlignment="1" applyProtection="1">
      <alignment horizontal="left" vertical="center" wrapText="1" indent="1"/>
      <protection hidden="1"/>
    </xf>
    <xf numFmtId="0" fontId="50" fillId="21" borderId="4" xfId="0" applyFont="1" applyFill="1" applyBorder="1" applyAlignment="1" applyProtection="1">
      <alignment horizontal="left" vertical="center" wrapText="1"/>
      <protection hidden="1"/>
    </xf>
    <xf numFmtId="0" fontId="13" fillId="21" borderId="37" xfId="0" applyFont="1" applyFill="1" applyBorder="1" applyAlignment="1" applyProtection="1">
      <alignment horizontal="center" vertical="center" wrapText="1"/>
      <protection hidden="1"/>
    </xf>
    <xf numFmtId="0" fontId="13" fillId="21" borderId="75" xfId="0" applyFont="1" applyFill="1" applyBorder="1" applyAlignment="1" applyProtection="1">
      <alignment horizontal="center" vertical="center" wrapText="1"/>
      <protection hidden="1"/>
    </xf>
    <xf numFmtId="0" fontId="13" fillId="21" borderId="31" xfId="0" applyFont="1" applyFill="1" applyBorder="1" applyAlignment="1" applyProtection="1">
      <alignment horizontal="center" vertical="center" wrapText="1"/>
      <protection hidden="1"/>
    </xf>
    <xf numFmtId="0" fontId="65" fillId="20" borderId="4" xfId="0" applyFont="1" applyFill="1" applyBorder="1" applyAlignment="1" applyProtection="1">
      <alignment horizontal="center" vertical="center" wrapText="1"/>
      <protection locked="0"/>
    </xf>
    <xf numFmtId="0" fontId="13" fillId="21" borderId="33" xfId="0" applyFont="1" applyFill="1" applyBorder="1" applyAlignment="1" applyProtection="1">
      <alignment horizontal="center" vertical="center"/>
      <protection hidden="1"/>
    </xf>
    <xf numFmtId="0" fontId="2" fillId="2" borderId="0" xfId="2" applyFill="1" applyBorder="1" applyAlignment="1" applyProtection="1">
      <alignment horizontal="left" vertical="center" wrapText="1" indent="5"/>
      <protection hidden="1"/>
    </xf>
    <xf numFmtId="0" fontId="13" fillId="21" borderId="37" xfId="0" applyFont="1" applyFill="1" applyBorder="1" applyAlignment="1" applyProtection="1">
      <alignment horizontal="center" vertical="center"/>
      <protection hidden="1"/>
    </xf>
    <xf numFmtId="0" fontId="13" fillId="21" borderId="31" xfId="0" applyFont="1" applyFill="1" applyBorder="1" applyAlignment="1" applyProtection="1">
      <alignment horizontal="center" vertical="center"/>
      <protection hidden="1"/>
    </xf>
    <xf numFmtId="0" fontId="22" fillId="2" borderId="0" xfId="0" applyFont="1" applyFill="1" applyBorder="1" applyAlignment="1" applyProtection="1">
      <alignment horizontal="left" vertical="center" wrapText="1" indent="5"/>
      <protection hidden="1"/>
    </xf>
    <xf numFmtId="0" fontId="20" fillId="21" borderId="28" xfId="2" applyFont="1" applyFill="1" applyBorder="1" applyAlignment="1" applyProtection="1">
      <alignment horizontal="left" vertical="center" wrapText="1"/>
      <protection hidden="1"/>
    </xf>
    <xf numFmtId="0" fontId="20" fillId="21" borderId="29" xfId="2" applyFont="1" applyFill="1" applyBorder="1" applyAlignment="1" applyProtection="1">
      <alignment horizontal="left" vertical="center" wrapText="1"/>
      <protection hidden="1"/>
    </xf>
    <xf numFmtId="0" fontId="2" fillId="0" borderId="28" xfId="2" applyFont="1" applyFill="1" applyBorder="1" applyAlignment="1" applyProtection="1">
      <alignment horizontal="left" vertical="center" wrapText="1"/>
      <protection hidden="1"/>
    </xf>
    <xf numFmtId="0" fontId="2" fillId="0" borderId="29" xfId="2" applyFont="1" applyFill="1" applyBorder="1" applyAlignment="1" applyProtection="1">
      <alignment horizontal="left" vertical="center" wrapText="1"/>
      <protection hidden="1"/>
    </xf>
    <xf numFmtId="0" fontId="2" fillId="0" borderId="30" xfId="2" applyFont="1" applyFill="1" applyBorder="1" applyAlignment="1" applyProtection="1">
      <alignment horizontal="left" vertical="center" wrapText="1"/>
      <protection hidden="1"/>
    </xf>
    <xf numFmtId="0" fontId="13" fillId="21" borderId="10" xfId="0" applyFont="1" applyFill="1" applyBorder="1" applyAlignment="1" applyProtection="1">
      <alignment horizontal="center" vertical="center"/>
      <protection hidden="1"/>
    </xf>
    <xf numFmtId="0" fontId="73" fillId="2" borderId="0" xfId="2" applyFont="1" applyFill="1" applyBorder="1" applyAlignment="1" applyProtection="1">
      <alignment horizontal="right" vertical="center" wrapText="1"/>
      <protection hidden="1"/>
    </xf>
    <xf numFmtId="0" fontId="52" fillId="16" borderId="4" xfId="0" applyFont="1" applyFill="1" applyBorder="1" applyAlignment="1" applyProtection="1">
      <alignment horizontal="center" vertical="center" wrapText="1"/>
      <protection hidden="1"/>
    </xf>
    <xf numFmtId="0" fontId="51" fillId="16" borderId="33" xfId="2" applyFont="1" applyFill="1" applyBorder="1" applyAlignment="1">
      <alignment horizontal="left" vertical="center"/>
    </xf>
    <xf numFmtId="0" fontId="51" fillId="16" borderId="0" xfId="2" applyFont="1" applyFill="1" applyBorder="1" applyAlignment="1">
      <alignment horizontal="left" vertical="center"/>
    </xf>
    <xf numFmtId="0" fontId="5" fillId="16" borderId="0" xfId="2" applyFont="1" applyFill="1" applyBorder="1" applyAlignment="1" applyProtection="1">
      <alignment horizontal="left" vertical="top" wrapText="1"/>
      <protection hidden="1"/>
    </xf>
    <xf numFmtId="0" fontId="5" fillId="16" borderId="35" xfId="2" applyFont="1" applyFill="1" applyBorder="1" applyAlignment="1">
      <alignment horizontal="center" vertical="center" wrapText="1"/>
    </xf>
    <xf numFmtId="0" fontId="5" fillId="16" borderId="3" xfId="2" applyFont="1" applyFill="1" applyBorder="1" applyAlignment="1">
      <alignment horizontal="center" vertical="center" wrapText="1"/>
    </xf>
    <xf numFmtId="0" fontId="52" fillId="16" borderId="4" xfId="0" applyFont="1" applyFill="1" applyBorder="1" applyAlignment="1" applyProtection="1">
      <alignment horizontal="left" vertical="center" indent="1"/>
      <protection hidden="1"/>
    </xf>
    <xf numFmtId="0" fontId="63" fillId="10" borderId="4" xfId="3" applyFont="1" applyFill="1" applyBorder="1" applyAlignment="1">
      <alignment horizontal="left" vertical="center" indent="1"/>
    </xf>
    <xf numFmtId="0" fontId="8" fillId="20" borderId="5" xfId="2" applyFont="1" applyFill="1" applyBorder="1" applyAlignment="1" applyProtection="1">
      <alignment horizontal="center" vertical="center"/>
      <protection locked="0"/>
    </xf>
    <xf numFmtId="0" fontId="8" fillId="18" borderId="5" xfId="2" applyFont="1" applyFill="1" applyBorder="1" applyAlignment="1" applyProtection="1">
      <alignment horizontal="center" vertical="center"/>
      <protection hidden="1"/>
    </xf>
    <xf numFmtId="0" fontId="37" fillId="17" borderId="10" xfId="4" applyFont="1" applyFill="1" applyBorder="1" applyAlignment="1" applyProtection="1">
      <alignment horizontal="center" vertical="distributed" wrapText="1"/>
      <protection hidden="1"/>
    </xf>
    <xf numFmtId="0" fontId="37" fillId="17" borderId="7" xfId="4" applyFont="1" applyFill="1" applyBorder="1" applyAlignment="1" applyProtection="1">
      <alignment horizontal="center" vertical="distributed" wrapText="1"/>
      <protection hidden="1"/>
    </xf>
    <xf numFmtId="0" fontId="2" fillId="20" borderId="31" xfId="4" applyNumberFormat="1" applyFont="1" applyFill="1" applyBorder="1" applyAlignment="1" applyProtection="1">
      <alignment horizontal="center" vertical="center"/>
      <protection locked="0"/>
    </xf>
    <xf numFmtId="0" fontId="2" fillId="20" borderId="4" xfId="4" applyNumberFormat="1" applyFont="1" applyFill="1" applyBorder="1" applyAlignment="1" applyProtection="1">
      <alignment horizontal="center" vertical="center"/>
      <protection locked="0"/>
    </xf>
    <xf numFmtId="0" fontId="13" fillId="17" borderId="7" xfId="4" applyFont="1" applyFill="1" applyBorder="1" applyAlignment="1" applyProtection="1">
      <alignment horizontal="center" vertical="center" wrapText="1"/>
      <protection hidden="1"/>
    </xf>
    <xf numFmtId="0" fontId="2" fillId="11" borderId="60" xfId="2" applyFont="1" applyFill="1" applyBorder="1" applyAlignment="1" applyProtection="1">
      <alignment horizontal="left" vertical="center" wrapText="1" indent="1"/>
      <protection hidden="1"/>
    </xf>
    <xf numFmtId="0" fontId="2" fillId="11" borderId="61" xfId="2" applyFont="1" applyFill="1" applyBorder="1" applyAlignment="1" applyProtection="1">
      <alignment horizontal="left" vertical="center" wrapText="1" indent="1"/>
      <protection hidden="1"/>
    </xf>
    <xf numFmtId="0" fontId="2" fillId="11" borderId="62" xfId="2" applyFont="1" applyFill="1" applyBorder="1" applyAlignment="1" applyProtection="1">
      <alignment horizontal="left" vertical="center" wrapText="1" indent="1"/>
      <protection hidden="1"/>
    </xf>
    <xf numFmtId="0" fontId="20" fillId="16" borderId="28" xfId="2" applyFont="1" applyFill="1" applyBorder="1" applyAlignment="1" applyProtection="1">
      <alignment horizontal="left" vertical="center" wrapText="1" indent="1"/>
      <protection hidden="1"/>
    </xf>
    <xf numFmtId="0" fontId="20" fillId="16" borderId="29" xfId="2" applyFont="1" applyFill="1" applyBorder="1" applyAlignment="1" applyProtection="1">
      <alignment horizontal="left" vertical="center" wrapText="1" indent="1"/>
      <protection hidden="1"/>
    </xf>
    <xf numFmtId="0" fontId="2" fillId="11" borderId="63" xfId="2" applyFont="1" applyFill="1" applyBorder="1" applyAlignment="1" applyProtection="1">
      <alignment horizontal="left" vertical="center" wrapText="1" indent="1"/>
      <protection hidden="1"/>
    </xf>
    <xf numFmtId="0" fontId="2" fillId="11" borderId="0" xfId="2" applyFont="1" applyFill="1" applyBorder="1" applyAlignment="1" applyProtection="1">
      <alignment horizontal="left" vertical="center" wrapText="1" indent="1"/>
      <protection hidden="1"/>
    </xf>
    <xf numFmtId="0" fontId="2" fillId="11" borderId="64" xfId="2" applyFont="1" applyFill="1" applyBorder="1" applyAlignment="1" applyProtection="1">
      <alignment horizontal="left" vertical="center" wrapText="1" indent="1"/>
      <protection hidden="1"/>
    </xf>
    <xf numFmtId="0" fontId="20" fillId="16" borderId="30" xfId="2" applyFont="1" applyFill="1" applyBorder="1" applyAlignment="1" applyProtection="1">
      <alignment horizontal="left" vertical="center" wrapText="1" indent="1"/>
      <protection hidden="1"/>
    </xf>
    <xf numFmtId="0" fontId="2" fillId="4" borderId="4" xfId="4" applyNumberFormat="1" applyFont="1" applyFill="1" applyBorder="1" applyAlignment="1" applyProtection="1">
      <alignment horizontal="center" vertical="center"/>
      <protection hidden="1"/>
    </xf>
    <xf numFmtId="0" fontId="2" fillId="4" borderId="37" xfId="4" applyNumberFormat="1" applyFont="1" applyFill="1" applyBorder="1" applyAlignment="1" applyProtection="1">
      <alignment horizontal="center" vertical="center"/>
      <protection hidden="1"/>
    </xf>
    <xf numFmtId="0" fontId="2" fillId="4" borderId="31" xfId="4" applyNumberFormat="1" applyFont="1" applyFill="1" applyBorder="1" applyAlignment="1" applyProtection="1">
      <alignment horizontal="center" vertical="center"/>
      <protection hidden="1"/>
    </xf>
    <xf numFmtId="0" fontId="13" fillId="17" borderId="33" xfId="4" applyFont="1" applyFill="1" applyBorder="1" applyAlignment="1" applyProtection="1">
      <alignment horizontal="center" vertical="center" wrapText="1"/>
      <protection hidden="1"/>
    </xf>
    <xf numFmtId="0" fontId="13" fillId="17" borderId="3" xfId="4" applyFont="1" applyFill="1" applyBorder="1" applyAlignment="1" applyProtection="1">
      <alignment horizontal="center" vertical="center" wrapText="1"/>
      <protection hidden="1"/>
    </xf>
    <xf numFmtId="0" fontId="22" fillId="25" borderId="0" xfId="0" applyFont="1" applyFill="1" applyBorder="1" applyAlignment="1" applyProtection="1">
      <alignment horizontal="left" vertical="center" wrapText="1" indent="5"/>
      <protection hidden="1"/>
    </xf>
    <xf numFmtId="0" fontId="2" fillId="4" borderId="4" xfId="2" applyFont="1" applyFill="1" applyBorder="1" applyAlignment="1" applyProtection="1">
      <alignment horizontal="left" vertical="center" wrapText="1" indent="1"/>
      <protection hidden="1"/>
    </xf>
    <xf numFmtId="0" fontId="40" fillId="16" borderId="0" xfId="0" applyFont="1" applyFill="1" applyBorder="1" applyAlignment="1" applyProtection="1">
      <alignment horizontal="left" vertical="center" indent="1"/>
      <protection hidden="1"/>
    </xf>
    <xf numFmtId="0" fontId="20" fillId="16" borderId="10" xfId="2" applyFont="1" applyFill="1" applyBorder="1" applyAlignment="1" applyProtection="1">
      <alignment horizontal="left" vertical="center" wrapText="1" indent="1"/>
      <protection hidden="1"/>
    </xf>
    <xf numFmtId="0" fontId="20" fillId="16" borderId="7" xfId="2" applyFont="1" applyFill="1" applyBorder="1" applyAlignment="1" applyProtection="1">
      <alignment horizontal="left" vertical="center" wrapText="1" indent="1"/>
      <protection hidden="1"/>
    </xf>
    <xf numFmtId="0" fontId="2" fillId="4" borderId="31" xfId="2" applyFont="1" applyFill="1" applyBorder="1" applyAlignment="1" applyProtection="1">
      <alignment horizontal="left" vertical="center" wrapText="1" indent="1"/>
      <protection hidden="1"/>
    </xf>
    <xf numFmtId="0" fontId="37" fillId="17" borderId="32" xfId="4" applyFont="1" applyFill="1" applyBorder="1" applyAlignment="1" applyProtection="1">
      <alignment horizontal="center" vertical="distributed" wrapText="1"/>
      <protection hidden="1"/>
    </xf>
    <xf numFmtId="0" fontId="37" fillId="17" borderId="33" xfId="4" applyFont="1" applyFill="1" applyBorder="1" applyAlignment="1" applyProtection="1">
      <alignment horizontal="center" vertical="distributed" wrapText="1"/>
      <protection hidden="1"/>
    </xf>
    <xf numFmtId="0" fontId="13" fillId="17" borderId="34" xfId="4" applyFont="1" applyFill="1" applyBorder="1" applyAlignment="1" applyProtection="1">
      <alignment horizontal="center" vertical="center" wrapText="1"/>
      <protection hidden="1"/>
    </xf>
    <xf numFmtId="0" fontId="13" fillId="17" borderId="36" xfId="4" applyFont="1" applyFill="1" applyBorder="1" applyAlignment="1" applyProtection="1">
      <alignment horizontal="center" vertical="center" wrapText="1"/>
      <protection hidden="1"/>
    </xf>
    <xf numFmtId="0" fontId="13" fillId="17" borderId="34" xfId="4" applyNumberFormat="1" applyFont="1" applyFill="1" applyBorder="1" applyAlignment="1" applyProtection="1">
      <alignment horizontal="center" vertical="center" wrapText="1"/>
      <protection hidden="1"/>
    </xf>
    <xf numFmtId="0" fontId="13" fillId="17" borderId="36" xfId="4" applyNumberFormat="1" applyFont="1" applyFill="1" applyBorder="1" applyAlignment="1" applyProtection="1">
      <alignment horizontal="center" vertical="center" wrapText="1"/>
      <protection hidden="1"/>
    </xf>
    <xf numFmtId="0" fontId="2" fillId="20" borderId="75" xfId="4" applyNumberFormat="1" applyFont="1" applyFill="1" applyBorder="1" applyAlignment="1" applyProtection="1">
      <alignment horizontal="center" vertical="center"/>
      <protection locked="0"/>
    </xf>
    <xf numFmtId="0" fontId="2" fillId="4" borderId="75" xfId="4" applyNumberFormat="1" applyFont="1" applyFill="1" applyBorder="1" applyAlignment="1" applyProtection="1">
      <alignment horizontal="center" vertical="center"/>
      <protection hidden="1"/>
    </xf>
    <xf numFmtId="0" fontId="2" fillId="20" borderId="37" xfId="4" applyNumberFormat="1" applyFont="1" applyFill="1" applyBorder="1" applyAlignment="1" applyProtection="1">
      <alignment horizontal="center" vertical="center"/>
      <protection locked="0"/>
    </xf>
    <xf numFmtId="0" fontId="2" fillId="20" borderId="37" xfId="4" applyNumberFormat="1" applyFont="1" applyFill="1" applyBorder="1" applyAlignment="1" applyProtection="1">
      <alignment horizontal="center"/>
      <protection locked="0"/>
    </xf>
    <xf numFmtId="0" fontId="2" fillId="20" borderId="31" xfId="4" applyNumberFormat="1" applyFont="1" applyFill="1" applyBorder="1" applyAlignment="1" applyProtection="1">
      <alignment horizontal="center"/>
      <protection locked="0"/>
    </xf>
    <xf numFmtId="0" fontId="2" fillId="20" borderId="35" xfId="4" applyNumberFormat="1" applyFont="1" applyFill="1" applyBorder="1" applyAlignment="1" applyProtection="1">
      <alignment horizontal="center" vertical="center"/>
      <protection locked="0"/>
    </xf>
    <xf numFmtId="0" fontId="2" fillId="20" borderId="36" xfId="4" applyNumberFormat="1" applyFont="1" applyFill="1" applyBorder="1" applyAlignment="1" applyProtection="1">
      <alignment horizontal="center" vertical="center"/>
      <protection locked="0"/>
    </xf>
    <xf numFmtId="0" fontId="2" fillId="20" borderId="10" xfId="4" applyNumberFormat="1" applyFont="1" applyFill="1" applyBorder="1" applyAlignment="1" applyProtection="1">
      <alignment horizontal="center" vertical="center"/>
      <protection locked="0"/>
    </xf>
    <xf numFmtId="0" fontId="2" fillId="20" borderId="8" xfId="4" applyNumberFormat="1" applyFont="1" applyFill="1" applyBorder="1" applyAlignment="1" applyProtection="1">
      <alignment horizontal="center" vertical="center"/>
      <protection locked="0"/>
    </xf>
    <xf numFmtId="0" fontId="21" fillId="28" borderId="3" xfId="2" applyFont="1" applyFill="1" applyBorder="1" applyAlignment="1" applyProtection="1">
      <alignment horizontal="center"/>
      <protection hidden="1"/>
    </xf>
    <xf numFmtId="0" fontId="50" fillId="16" borderId="32" xfId="0" applyFont="1" applyFill="1" applyBorder="1" applyAlignment="1">
      <alignment horizontal="center" vertical="center" wrapText="1"/>
    </xf>
    <xf numFmtId="0" fontId="50" fillId="16" borderId="35" xfId="0" applyFont="1" applyFill="1" applyBorder="1" applyAlignment="1">
      <alignment horizontal="center" vertical="center" wrapText="1"/>
    </xf>
    <xf numFmtId="0" fontId="50" fillId="16" borderId="33" xfId="0" applyFont="1" applyFill="1" applyBorder="1" applyAlignment="1">
      <alignment horizontal="center" vertical="center" wrapText="1"/>
    </xf>
    <xf numFmtId="0" fontId="50" fillId="16" borderId="3" xfId="0" applyFont="1" applyFill="1" applyBorder="1" applyAlignment="1">
      <alignment horizontal="center" vertical="center" wrapText="1"/>
    </xf>
    <xf numFmtId="0" fontId="50" fillId="16" borderId="34" xfId="0" applyFont="1" applyFill="1" applyBorder="1" applyAlignment="1">
      <alignment horizontal="center" vertical="center" wrapText="1"/>
    </xf>
    <xf numFmtId="0" fontId="50" fillId="16" borderId="36" xfId="0" applyFont="1" applyFill="1" applyBorder="1" applyAlignment="1">
      <alignment horizontal="center" vertical="center" wrapText="1"/>
    </xf>
    <xf numFmtId="0" fontId="21" fillId="28" borderId="0" xfId="0" applyFont="1" applyFill="1" applyBorder="1" applyAlignment="1" applyProtection="1">
      <alignment horizontal="left" vertical="center" wrapText="1" indent="5"/>
      <protection hidden="1"/>
    </xf>
    <xf numFmtId="0" fontId="22" fillId="28" borderId="0" xfId="0" applyFont="1" applyFill="1" applyBorder="1" applyAlignment="1" applyProtection="1">
      <alignment horizontal="left" vertical="center" wrapText="1" indent="5"/>
      <protection hidden="1"/>
    </xf>
    <xf numFmtId="0" fontId="37" fillId="17" borderId="4" xfId="4" applyFont="1" applyFill="1" applyBorder="1" applyAlignment="1" applyProtection="1">
      <alignment horizontal="center" vertical="center" wrapText="1"/>
      <protection hidden="1"/>
    </xf>
    <xf numFmtId="0" fontId="13" fillId="17" borderId="4" xfId="4" applyFont="1" applyFill="1" applyBorder="1" applyAlignment="1" applyProtection="1">
      <alignment horizontal="center" vertical="center" wrapText="1"/>
      <protection hidden="1"/>
    </xf>
    <xf numFmtId="0" fontId="13" fillId="16" borderId="10" xfId="0" applyFont="1" applyFill="1" applyBorder="1" applyAlignment="1" applyProtection="1">
      <alignment horizontal="left" vertical="center" indent="1"/>
      <protection hidden="1"/>
    </xf>
    <xf numFmtId="0" fontId="13" fillId="16" borderId="7" xfId="0" applyFont="1" applyFill="1" applyBorder="1" applyAlignment="1" applyProtection="1">
      <alignment horizontal="left" vertical="center" indent="1"/>
      <protection hidden="1"/>
    </xf>
    <xf numFmtId="0" fontId="13" fillId="16" borderId="7" xfId="0" applyFont="1" applyFill="1" applyBorder="1" applyAlignment="1" applyProtection="1">
      <alignment horizontal="center" vertical="center"/>
      <protection hidden="1"/>
    </xf>
    <xf numFmtId="0" fontId="13" fillId="16" borderId="8" xfId="0" applyFont="1" applyFill="1" applyBorder="1" applyAlignment="1" applyProtection="1">
      <alignment horizontal="center" vertical="center"/>
      <protection hidden="1"/>
    </xf>
    <xf numFmtId="0" fontId="10" fillId="16" borderId="0" xfId="0" applyFont="1" applyFill="1" applyBorder="1" applyAlignment="1" applyProtection="1">
      <alignment horizontal="left" vertical="center" indent="1"/>
      <protection hidden="1"/>
    </xf>
    <xf numFmtId="0" fontId="2" fillId="10" borderId="63" xfId="2" applyFill="1" applyBorder="1" applyAlignment="1" applyProtection="1">
      <alignment horizontal="left" indent="8"/>
      <protection hidden="1"/>
    </xf>
    <xf numFmtId="0" fontId="2" fillId="10" borderId="0" xfId="2" applyFill="1" applyBorder="1" applyAlignment="1" applyProtection="1">
      <alignment horizontal="left" indent="8"/>
      <protection hidden="1"/>
    </xf>
    <xf numFmtId="0" fontId="2" fillId="10" borderId="64" xfId="2" applyFill="1" applyBorder="1" applyAlignment="1" applyProtection="1">
      <alignment horizontal="left" indent="8"/>
      <protection hidden="1"/>
    </xf>
    <xf numFmtId="0" fontId="2" fillId="10" borderId="25" xfId="2" applyFill="1" applyBorder="1" applyAlignment="1" applyProtection="1">
      <alignment horizontal="left" indent="8"/>
      <protection hidden="1"/>
    </xf>
    <xf numFmtId="0" fontId="2" fillId="10" borderId="26" xfId="2" applyFill="1" applyBorder="1" applyAlignment="1" applyProtection="1">
      <alignment horizontal="left" indent="8"/>
      <protection hidden="1"/>
    </xf>
    <xf numFmtId="0" fontId="2" fillId="10" borderId="27" xfId="2" applyFill="1" applyBorder="1" applyAlignment="1" applyProtection="1">
      <alignment horizontal="left" indent="8"/>
      <protection hidden="1"/>
    </xf>
    <xf numFmtId="0" fontId="2" fillId="10" borderId="60" xfId="2" applyFill="1" applyBorder="1" applyAlignment="1" applyProtection="1">
      <alignment horizontal="left" indent="7"/>
      <protection hidden="1"/>
    </xf>
    <xf numFmtId="0" fontId="2" fillId="10" borderId="61" xfId="2" applyFill="1" applyBorder="1" applyAlignment="1" applyProtection="1">
      <alignment horizontal="left" indent="7"/>
      <protection hidden="1"/>
    </xf>
    <xf numFmtId="0" fontId="2" fillId="10" borderId="62" xfId="2" applyFill="1" applyBorder="1" applyAlignment="1" applyProtection="1">
      <alignment horizontal="left" indent="7"/>
      <protection hidden="1"/>
    </xf>
    <xf numFmtId="0" fontId="13" fillId="16" borderId="3" xfId="0" applyFont="1" applyFill="1" applyBorder="1" applyAlignment="1" applyProtection="1">
      <alignment horizontal="center" vertical="center"/>
      <protection hidden="1"/>
    </xf>
    <xf numFmtId="0" fontId="14" fillId="20" borderId="33" xfId="0" applyFont="1" applyFill="1" applyBorder="1" applyAlignment="1" applyProtection="1">
      <alignment horizontal="center" vertical="center" wrapText="1"/>
      <protection locked="0"/>
    </xf>
    <xf numFmtId="0" fontId="14" fillId="20" borderId="32" xfId="0" applyFont="1" applyFill="1" applyBorder="1" applyAlignment="1" applyProtection="1">
      <alignment horizontal="center" vertical="center" wrapText="1"/>
      <protection locked="0"/>
    </xf>
    <xf numFmtId="0" fontId="2" fillId="20" borderId="4" xfId="4" applyNumberFormat="1" applyFont="1" applyFill="1" applyBorder="1" applyAlignment="1" applyProtection="1">
      <alignment horizontal="left" vertical="center"/>
      <protection locked="0"/>
    </xf>
    <xf numFmtId="0" fontId="13" fillId="17" borderId="8" xfId="4" applyFont="1" applyFill="1" applyBorder="1" applyAlignment="1" applyProtection="1">
      <alignment horizontal="center" vertical="center" wrapText="1"/>
      <protection hidden="1"/>
    </xf>
    <xf numFmtId="0" fontId="6" fillId="9" borderId="10" xfId="2" applyFont="1" applyFill="1" applyBorder="1" applyAlignment="1" applyProtection="1">
      <alignment horizontal="center" vertical="center" wrapText="1"/>
      <protection hidden="1"/>
    </xf>
    <xf numFmtId="0" fontId="6" fillId="9" borderId="8" xfId="2" applyFont="1" applyFill="1" applyBorder="1" applyAlignment="1" applyProtection="1">
      <alignment horizontal="center" vertical="center" wrapText="1"/>
      <protection hidden="1"/>
    </xf>
    <xf numFmtId="4" fontId="2" fillId="20" borderId="10" xfId="4" applyNumberFormat="1" applyFont="1" applyFill="1" applyBorder="1" applyAlignment="1" applyProtection="1">
      <alignment horizontal="center" vertical="center"/>
      <protection locked="0"/>
    </xf>
    <xf numFmtId="4" fontId="2" fillId="20" borderId="8" xfId="4" applyNumberFormat="1" applyFont="1" applyFill="1" applyBorder="1" applyAlignment="1" applyProtection="1">
      <alignment horizontal="center" vertical="center"/>
      <protection locked="0"/>
    </xf>
    <xf numFmtId="0" fontId="14" fillId="20" borderId="10" xfId="0" applyFont="1" applyFill="1" applyBorder="1" applyAlignment="1" applyProtection="1">
      <alignment horizontal="center" vertical="center" wrapText="1"/>
      <protection locked="0"/>
    </xf>
    <xf numFmtId="0" fontId="14" fillId="20" borderId="8" xfId="0" applyFont="1" applyFill="1" applyBorder="1" applyAlignment="1" applyProtection="1">
      <alignment horizontal="center" vertical="center" wrapText="1"/>
      <protection locked="0"/>
    </xf>
    <xf numFmtId="10" fontId="2" fillId="20" borderId="4" xfId="1" applyNumberFormat="1" applyFont="1" applyFill="1" applyBorder="1" applyAlignment="1" applyProtection="1">
      <alignment horizontal="center" vertical="center"/>
      <protection locked="0"/>
    </xf>
    <xf numFmtId="0" fontId="14" fillId="20" borderId="10" xfId="0" applyFont="1" applyFill="1" applyBorder="1" applyAlignment="1" applyProtection="1">
      <alignment horizontal="left" vertical="center" wrapText="1"/>
      <protection locked="0"/>
    </xf>
    <xf numFmtId="0" fontId="14" fillId="20" borderId="7" xfId="0" applyFont="1" applyFill="1" applyBorder="1" applyAlignment="1" applyProtection="1">
      <alignment horizontal="left" vertical="center" wrapText="1"/>
      <protection locked="0"/>
    </xf>
    <xf numFmtId="0" fontId="14" fillId="20" borderId="8" xfId="0" applyFont="1" applyFill="1" applyBorder="1" applyAlignment="1" applyProtection="1">
      <alignment horizontal="left" vertical="center" wrapText="1"/>
      <protection locked="0"/>
    </xf>
    <xf numFmtId="0" fontId="37" fillId="16" borderId="4" xfId="4" applyFont="1" applyFill="1" applyBorder="1" applyAlignment="1" applyProtection="1">
      <alignment horizontal="center" vertical="center" wrapText="1"/>
      <protection hidden="1"/>
    </xf>
    <xf numFmtId="0" fontId="13" fillId="16" borderId="35" xfId="0" applyFont="1" applyFill="1" applyBorder="1" applyAlignment="1" applyProtection="1">
      <alignment horizontal="left" vertical="center" indent="1"/>
      <protection hidden="1"/>
    </xf>
    <xf numFmtId="0" fontId="13" fillId="16" borderId="3" xfId="0" applyFont="1" applyFill="1" applyBorder="1" applyAlignment="1" applyProtection="1">
      <alignment horizontal="left" vertical="center" indent="1"/>
      <protection hidden="1"/>
    </xf>
    <xf numFmtId="0" fontId="37" fillId="16" borderId="10" xfId="4" applyFont="1" applyFill="1" applyBorder="1" applyAlignment="1" applyProtection="1">
      <alignment horizontal="center" vertical="center" wrapText="1"/>
      <protection hidden="1"/>
    </xf>
    <xf numFmtId="0" fontId="37" fillId="16" borderId="7" xfId="4" applyFont="1" applyFill="1" applyBorder="1" applyAlignment="1" applyProtection="1">
      <alignment horizontal="center" vertical="center" wrapText="1"/>
      <protection hidden="1"/>
    </xf>
    <xf numFmtId="0" fontId="37" fillId="16" borderId="8" xfId="4" applyFont="1" applyFill="1" applyBorder="1" applyAlignment="1" applyProtection="1">
      <alignment horizontal="center" vertical="center" wrapText="1"/>
      <protection hidden="1"/>
    </xf>
    <xf numFmtId="0" fontId="22" fillId="11" borderId="2" xfId="2" applyFont="1" applyFill="1" applyBorder="1" applyAlignment="1" applyProtection="1">
      <alignment horizontal="center" vertical="center"/>
      <protection hidden="1"/>
    </xf>
    <xf numFmtId="0" fontId="20" fillId="16" borderId="27" xfId="2" applyFont="1" applyFill="1" applyBorder="1" applyAlignment="1" applyProtection="1">
      <alignment horizontal="center" vertical="center" wrapText="1"/>
      <protection hidden="1"/>
    </xf>
    <xf numFmtId="0" fontId="20" fillId="16" borderId="25" xfId="2" applyFont="1" applyFill="1" applyBorder="1" applyAlignment="1" applyProtection="1">
      <alignment horizontal="center" vertical="center" wrapText="1"/>
      <protection hidden="1"/>
    </xf>
    <xf numFmtId="0" fontId="20" fillId="16" borderId="1" xfId="2" applyFont="1" applyFill="1" applyBorder="1" applyAlignment="1" applyProtection="1">
      <alignment horizontal="center" vertical="center" wrapText="1"/>
      <protection hidden="1"/>
    </xf>
    <xf numFmtId="0" fontId="2" fillId="0" borderId="88" xfId="2" applyFont="1" applyFill="1" applyBorder="1" applyAlignment="1" applyProtection="1">
      <alignment horizontal="left" vertical="center" wrapText="1" indent="1"/>
      <protection hidden="1"/>
    </xf>
    <xf numFmtId="0" fontId="2" fillId="0" borderId="6" xfId="2" applyFont="1" applyFill="1" applyBorder="1" applyAlignment="1" applyProtection="1">
      <alignment horizontal="left" vertical="center" wrapText="1" indent="1"/>
      <protection hidden="1"/>
    </xf>
    <xf numFmtId="0" fontId="2" fillId="0" borderId="89" xfId="2" applyFont="1" applyFill="1" applyBorder="1" applyAlignment="1" applyProtection="1">
      <alignment horizontal="left" vertical="center" wrapText="1" indent="1"/>
      <protection hidden="1"/>
    </xf>
    <xf numFmtId="0" fontId="13" fillId="17" borderId="10" xfId="4" applyFont="1" applyFill="1" applyBorder="1" applyAlignment="1" applyProtection="1">
      <alignment horizontal="center" vertical="center" wrapText="1"/>
      <protection hidden="1"/>
    </xf>
    <xf numFmtId="0" fontId="20" fillId="16" borderId="90" xfId="2" applyFont="1" applyFill="1" applyBorder="1" applyAlignment="1" applyProtection="1">
      <alignment horizontal="left" vertical="center" wrapText="1" indent="1"/>
      <protection hidden="1"/>
    </xf>
    <xf numFmtId="0" fontId="20" fillId="16" borderId="68" xfId="2" applyFont="1" applyFill="1" applyBorder="1" applyAlignment="1" applyProtection="1">
      <alignment horizontal="left" vertical="center" wrapText="1" indent="1"/>
      <protection hidden="1"/>
    </xf>
    <xf numFmtId="0" fontId="22" fillId="10" borderId="125" xfId="2" applyFont="1" applyFill="1" applyBorder="1" applyAlignment="1">
      <alignment horizontal="left" vertical="center" wrapText="1" indent="1"/>
    </xf>
    <xf numFmtId="0" fontId="22" fillId="10" borderId="126" xfId="2" applyFont="1" applyFill="1" applyBorder="1" applyAlignment="1">
      <alignment horizontal="left" vertical="center" wrapText="1" indent="1"/>
    </xf>
    <xf numFmtId="0" fontId="22" fillId="10" borderId="127" xfId="2" applyFont="1" applyFill="1" applyBorder="1" applyAlignment="1">
      <alignment horizontal="left" vertical="center" wrapText="1" indent="1"/>
    </xf>
    <xf numFmtId="0" fontId="22" fillId="10" borderId="28" xfId="2" applyFont="1" applyFill="1" applyBorder="1" applyAlignment="1" applyProtection="1">
      <alignment horizontal="center" vertical="center"/>
      <protection hidden="1"/>
    </xf>
    <xf numFmtId="0" fontId="22" fillId="10" borderId="30" xfId="2" applyFont="1" applyFill="1" applyBorder="1" applyAlignment="1" applyProtection="1">
      <alignment horizontal="center" vertical="center"/>
      <protection hidden="1"/>
    </xf>
    <xf numFmtId="0" fontId="22" fillId="10" borderId="29" xfId="2" applyFont="1" applyFill="1" applyBorder="1" applyAlignment="1" applyProtection="1">
      <alignment horizontal="center" vertical="center"/>
      <protection hidden="1"/>
    </xf>
    <xf numFmtId="0" fontId="22" fillId="10" borderId="60" xfId="2" applyFont="1" applyFill="1" applyBorder="1" applyAlignment="1" applyProtection="1">
      <alignment horizontal="left" indent="7"/>
      <protection hidden="1"/>
    </xf>
    <xf numFmtId="0" fontId="22" fillId="10" borderId="61" xfId="2" applyFont="1" applyFill="1" applyBorder="1" applyAlignment="1" applyProtection="1">
      <alignment horizontal="left" indent="7"/>
      <protection hidden="1"/>
    </xf>
    <xf numFmtId="0" fontId="22" fillId="10" borderId="62" xfId="2" applyFont="1" applyFill="1" applyBorder="1" applyAlignment="1" applyProtection="1">
      <alignment horizontal="left" indent="7"/>
      <protection hidden="1"/>
    </xf>
    <xf numFmtId="0" fontId="20" fillId="16" borderId="0" xfId="2" applyFont="1" applyFill="1" applyBorder="1" applyAlignment="1" applyProtection="1">
      <alignment horizontal="left" vertical="center" wrapText="1" indent="1"/>
      <protection hidden="1"/>
    </xf>
    <xf numFmtId="0" fontId="9" fillId="16" borderId="0" xfId="0" applyFont="1" applyFill="1" applyBorder="1" applyAlignment="1" applyProtection="1">
      <alignment horizontal="left" vertical="center" indent="1"/>
      <protection hidden="1"/>
    </xf>
    <xf numFmtId="0" fontId="20" fillId="16" borderId="4" xfId="0" applyFont="1" applyFill="1" applyBorder="1" applyAlignment="1" applyProtection="1">
      <alignment horizontal="center" vertical="center" wrapText="1"/>
      <protection hidden="1"/>
    </xf>
    <xf numFmtId="0" fontId="20" fillId="16" borderId="10" xfId="0" applyFont="1" applyFill="1" applyBorder="1" applyAlignment="1" applyProtection="1">
      <alignment horizontal="center" vertical="center" wrapText="1"/>
      <protection hidden="1"/>
    </xf>
    <xf numFmtId="0" fontId="20" fillId="16" borderId="8" xfId="2" applyFont="1" applyFill="1" applyBorder="1" applyAlignment="1" applyProtection="1">
      <alignment horizontal="center" vertical="center" wrapText="1"/>
      <protection hidden="1"/>
    </xf>
    <xf numFmtId="0" fontId="20" fillId="16" borderId="4" xfId="2" applyFont="1" applyFill="1" applyBorder="1" applyAlignment="1" applyProtection="1">
      <alignment horizontal="center" vertical="center" wrapText="1"/>
      <protection hidden="1"/>
    </xf>
    <xf numFmtId="0" fontId="14" fillId="20" borderId="7" xfId="0" applyFont="1" applyFill="1" applyBorder="1" applyAlignment="1" applyProtection="1">
      <alignment horizontal="center" vertical="center" wrapText="1"/>
      <protection locked="0"/>
    </xf>
    <xf numFmtId="0" fontId="22" fillId="10" borderId="29" xfId="2" applyFont="1" applyFill="1" applyBorder="1" applyAlignment="1">
      <alignment horizontal="left" vertical="center" wrapText="1" indent="1"/>
    </xf>
    <xf numFmtId="0" fontId="22" fillId="10" borderId="30" xfId="2" applyFont="1" applyFill="1" applyBorder="1" applyAlignment="1">
      <alignment horizontal="left" vertical="center" wrapText="1" indent="1"/>
    </xf>
    <xf numFmtId="0" fontId="20" fillId="16" borderId="25" xfId="2" applyFont="1" applyFill="1" applyBorder="1" applyAlignment="1" applyProtection="1">
      <alignment horizontal="left" vertical="center" wrapText="1" indent="1"/>
      <protection hidden="1"/>
    </xf>
    <xf numFmtId="0" fontId="20" fillId="16" borderId="26" xfId="2" applyFont="1" applyFill="1" applyBorder="1" applyAlignment="1" applyProtection="1">
      <alignment horizontal="left" vertical="center" wrapText="1" indent="1"/>
      <protection hidden="1"/>
    </xf>
    <xf numFmtId="0" fontId="2" fillId="4" borderId="31" xfId="0" applyFont="1" applyFill="1" applyBorder="1" applyAlignment="1" applyProtection="1">
      <alignment horizontal="left" vertical="center" wrapText="1" indent="1"/>
      <protection hidden="1"/>
    </xf>
    <xf numFmtId="0" fontId="2" fillId="4" borderId="37" xfId="0" applyFont="1" applyFill="1" applyBorder="1" applyAlignment="1" applyProtection="1">
      <alignment horizontal="left" vertical="center" wrapText="1" indent="1"/>
      <protection hidden="1"/>
    </xf>
    <xf numFmtId="0" fontId="2" fillId="20" borderId="10" xfId="0" applyFont="1" applyFill="1" applyBorder="1" applyAlignment="1" applyProtection="1">
      <alignment horizontal="center" vertical="center" wrapText="1"/>
      <protection locked="0"/>
    </xf>
    <xf numFmtId="0" fontId="2" fillId="20" borderId="7" xfId="0" applyFont="1" applyFill="1" applyBorder="1" applyAlignment="1" applyProtection="1">
      <alignment horizontal="center" vertical="center" wrapText="1"/>
      <protection locked="0"/>
    </xf>
    <xf numFmtId="0" fontId="2" fillId="20" borderId="8" xfId="0" applyFont="1" applyFill="1" applyBorder="1" applyAlignment="1" applyProtection="1">
      <alignment horizontal="center" vertical="center" wrapText="1"/>
      <protection locked="0"/>
    </xf>
    <xf numFmtId="0" fontId="2" fillId="10" borderId="63" xfId="2" applyFont="1" applyFill="1" applyBorder="1" applyAlignment="1" applyProtection="1">
      <alignment horizontal="left" vertical="center" wrapText="1" indent="7"/>
      <protection hidden="1"/>
    </xf>
    <xf numFmtId="0" fontId="2" fillId="10" borderId="0" xfId="2" applyFont="1" applyFill="1" applyBorder="1" applyAlignment="1" applyProtection="1">
      <alignment horizontal="left" vertical="center" wrapText="1" indent="7"/>
      <protection hidden="1"/>
    </xf>
    <xf numFmtId="0" fontId="2" fillId="10" borderId="64" xfId="2" applyFont="1" applyFill="1" applyBorder="1" applyAlignment="1" applyProtection="1">
      <alignment horizontal="left" vertical="center" wrapText="1" indent="7"/>
      <protection hidden="1"/>
    </xf>
    <xf numFmtId="0" fontId="13" fillId="17" borderId="10" xfId="4" applyFont="1" applyFill="1" applyBorder="1" applyAlignment="1" applyProtection="1">
      <alignment horizontal="left" vertical="center" wrapText="1" indent="1"/>
      <protection hidden="1"/>
    </xf>
    <xf numFmtId="0" fontId="13" fillId="17" borderId="7" xfId="4" applyFont="1" applyFill="1" applyBorder="1" applyAlignment="1" applyProtection="1">
      <alignment horizontal="left" vertical="center" wrapText="1" indent="1"/>
      <protection hidden="1"/>
    </xf>
    <xf numFmtId="0" fontId="51" fillId="13" borderId="0" xfId="2" applyFont="1" applyFill="1" applyAlignment="1">
      <alignment horizontal="left" vertical="center"/>
    </xf>
    <xf numFmtId="0" fontId="5" fillId="13" borderId="0" xfId="2" applyFont="1" applyFill="1" applyAlignment="1" applyProtection="1">
      <alignment horizontal="left" vertical="top" wrapText="1"/>
      <protection hidden="1"/>
    </xf>
    <xf numFmtId="0" fontId="52" fillId="13" borderId="4" xfId="0" applyFont="1" applyFill="1" applyBorder="1" applyAlignment="1" applyProtection="1">
      <alignment horizontal="left" vertical="center" indent="1"/>
      <protection hidden="1"/>
    </xf>
    <xf numFmtId="0" fontId="133" fillId="10" borderId="4" xfId="3" applyFont="1" applyFill="1" applyBorder="1" applyAlignment="1">
      <alignment horizontal="left" vertical="center" indent="1"/>
    </xf>
    <xf numFmtId="0" fontId="52" fillId="13" borderId="4" xfId="0" applyFont="1" applyFill="1" applyBorder="1" applyAlignment="1" applyProtection="1">
      <alignment horizontal="center" vertical="center" wrapText="1"/>
      <protection hidden="1"/>
    </xf>
    <xf numFmtId="0" fontId="5" fillId="13" borderId="0" xfId="2" applyFont="1" applyFill="1" applyAlignment="1">
      <alignment horizontal="center" vertical="center" wrapText="1"/>
    </xf>
    <xf numFmtId="0" fontId="9" fillId="13" borderId="0" xfId="0" applyFont="1" applyFill="1" applyBorder="1" applyAlignment="1" applyProtection="1">
      <alignment horizontal="left" vertical="center" indent="1"/>
      <protection hidden="1"/>
    </xf>
    <xf numFmtId="0" fontId="14" fillId="20" borderId="91" xfId="0" applyFont="1" applyFill="1" applyBorder="1" applyAlignment="1" applyProtection="1">
      <alignment horizontal="center" vertical="center" wrapText="1"/>
      <protection locked="0"/>
    </xf>
    <xf numFmtId="0" fontId="14" fillId="20" borderId="92" xfId="0" applyFont="1" applyFill="1" applyBorder="1" applyAlignment="1" applyProtection="1">
      <alignment horizontal="center" vertical="center" wrapText="1"/>
      <protection locked="0"/>
    </xf>
    <xf numFmtId="0" fontId="14" fillId="20" borderId="81" xfId="0" applyFont="1" applyFill="1" applyBorder="1" applyAlignment="1" applyProtection="1">
      <alignment horizontal="center" vertical="center" wrapText="1"/>
      <protection locked="0"/>
    </xf>
    <xf numFmtId="0" fontId="10" fillId="13" borderId="0" xfId="0" applyFont="1" applyFill="1" applyBorder="1" applyAlignment="1" applyProtection="1">
      <alignment horizontal="left" vertical="center" indent="1"/>
      <protection hidden="1"/>
    </xf>
    <xf numFmtId="0" fontId="2" fillId="18" borderId="20" xfId="2" applyFont="1" applyFill="1" applyBorder="1" applyAlignment="1" applyProtection="1">
      <alignment horizontal="center" vertical="center"/>
      <protection hidden="1"/>
    </xf>
    <xf numFmtId="0" fontId="2" fillId="18" borderId="24" xfId="2" applyFont="1" applyFill="1" applyBorder="1" applyAlignment="1" applyProtection="1">
      <alignment horizontal="center" vertical="center"/>
      <protection hidden="1"/>
    </xf>
    <xf numFmtId="0" fontId="20" fillId="13" borderId="28" xfId="2" applyFont="1" applyFill="1" applyBorder="1" applyAlignment="1">
      <alignment horizontal="left" vertical="center" wrapText="1" indent="1"/>
    </xf>
    <xf numFmtId="0" fontId="20" fillId="13" borderId="29" xfId="2" applyFont="1" applyFill="1" applyBorder="1" applyAlignment="1">
      <alignment horizontal="left" vertical="center" wrapText="1" indent="1"/>
    </xf>
    <xf numFmtId="0" fontId="13" fillId="13" borderId="7" xfId="0" applyFont="1" applyFill="1" applyBorder="1" applyAlignment="1" applyProtection="1">
      <alignment horizontal="center" vertical="center"/>
      <protection hidden="1"/>
    </xf>
    <xf numFmtId="0" fontId="13" fillId="13" borderId="8" xfId="0" applyFont="1" applyFill="1" applyBorder="1" applyAlignment="1" applyProtection="1">
      <alignment horizontal="center" vertical="center"/>
      <protection hidden="1"/>
    </xf>
    <xf numFmtId="0" fontId="2" fillId="10" borderId="60" xfId="2" applyFill="1" applyBorder="1" applyAlignment="1">
      <alignment horizontal="left" indent="7"/>
    </xf>
    <xf numFmtId="0" fontId="2" fillId="10" borderId="61" xfId="2" applyFill="1" applyBorder="1" applyAlignment="1">
      <alignment horizontal="left" indent="7"/>
    </xf>
    <xf numFmtId="0" fontId="2" fillId="10" borderId="62" xfId="2" applyFill="1" applyBorder="1" applyAlignment="1">
      <alignment horizontal="left" indent="7"/>
    </xf>
    <xf numFmtId="0" fontId="17" fillId="13" borderId="10" xfId="0" applyFont="1" applyFill="1" applyBorder="1" applyAlignment="1" applyProtection="1">
      <alignment horizontal="center" vertical="center" wrapText="1"/>
      <protection hidden="1"/>
    </xf>
    <xf numFmtId="0" fontId="17" fillId="13" borderId="8" xfId="0" applyFont="1" applyFill="1" applyBorder="1" applyAlignment="1" applyProtection="1">
      <alignment horizontal="center" vertical="center" wrapText="1"/>
      <protection hidden="1"/>
    </xf>
    <xf numFmtId="0" fontId="13" fillId="13" borderId="10" xfId="0" applyFont="1" applyFill="1" applyBorder="1" applyAlignment="1" applyProtection="1">
      <alignment horizontal="left" vertical="center" indent="1"/>
      <protection hidden="1"/>
    </xf>
    <xf numFmtId="0" fontId="13" fillId="13" borderId="7" xfId="0" applyFont="1" applyFill="1" applyBorder="1" applyAlignment="1" applyProtection="1">
      <alignment horizontal="left" vertical="center" indent="1"/>
      <protection hidden="1"/>
    </xf>
    <xf numFmtId="0" fontId="17" fillId="13" borderId="4" xfId="0" applyFont="1" applyFill="1" applyBorder="1" applyAlignment="1" applyProtection="1">
      <alignment horizontal="center" vertical="center" wrapText="1"/>
      <protection hidden="1"/>
    </xf>
    <xf numFmtId="0" fontId="17" fillId="13" borderId="4" xfId="0" applyFont="1" applyFill="1" applyBorder="1" applyAlignment="1" applyProtection="1">
      <alignment horizontal="center" vertical="center"/>
      <protection hidden="1"/>
    </xf>
    <xf numFmtId="0" fontId="13" fillId="13" borderId="79" xfId="0" applyFont="1" applyFill="1" applyBorder="1" applyAlignment="1" applyProtection="1">
      <alignment horizontal="center" vertical="center"/>
      <protection hidden="1"/>
    </xf>
    <xf numFmtId="0" fontId="13" fillId="13" borderId="78" xfId="0" applyFont="1" applyFill="1" applyBorder="1" applyAlignment="1" applyProtection="1">
      <alignment horizontal="center" vertical="center"/>
      <protection hidden="1"/>
    </xf>
    <xf numFmtId="0" fontId="14" fillId="20" borderId="31" xfId="0" applyFont="1" applyFill="1" applyBorder="1" applyAlignment="1" applyProtection="1">
      <alignment horizontal="center" vertical="center" wrapText="1"/>
      <protection locked="0"/>
    </xf>
    <xf numFmtId="0" fontId="2" fillId="11" borderId="25" xfId="2" applyFont="1" applyFill="1" applyBorder="1" applyAlignment="1">
      <alignment horizontal="left" vertical="center" wrapText="1" indent="1"/>
    </xf>
    <xf numFmtId="0" fontId="2" fillId="11" borderId="26" xfId="2" applyFont="1" applyFill="1" applyBorder="1" applyAlignment="1">
      <alignment horizontal="left" vertical="center" wrapText="1" indent="1"/>
    </xf>
    <xf numFmtId="0" fontId="2" fillId="11" borderId="27" xfId="2" applyFont="1" applyFill="1" applyBorder="1" applyAlignment="1">
      <alignment horizontal="left" vertical="center" wrapText="1" indent="1"/>
    </xf>
    <xf numFmtId="0" fontId="51" fillId="6" borderId="33" xfId="2" applyFont="1" applyFill="1" applyBorder="1" applyAlignment="1">
      <alignment horizontal="left" vertical="center" wrapText="1"/>
    </xf>
    <xf numFmtId="0" fontId="51" fillId="6" borderId="0" xfId="2" applyFont="1" applyFill="1" applyBorder="1" applyAlignment="1">
      <alignment horizontal="left" vertical="center" wrapText="1"/>
    </xf>
    <xf numFmtId="0" fontId="52" fillId="6" borderId="32" xfId="0" applyFont="1" applyFill="1" applyBorder="1" applyAlignment="1" applyProtection="1">
      <alignment horizontal="left" vertical="center" indent="1"/>
      <protection hidden="1"/>
    </xf>
    <xf numFmtId="0" fontId="52" fillId="6" borderId="34" xfId="0" applyFont="1" applyFill="1" applyBorder="1" applyAlignment="1" applyProtection="1">
      <alignment horizontal="left" vertical="center" indent="1"/>
      <protection hidden="1"/>
    </xf>
    <xf numFmtId="0" fontId="52" fillId="6" borderId="35" xfId="0" applyFont="1" applyFill="1" applyBorder="1" applyAlignment="1" applyProtection="1">
      <alignment horizontal="left" vertical="center" indent="1"/>
      <protection hidden="1"/>
    </xf>
    <xf numFmtId="0" fontId="52" fillId="6" borderId="36" xfId="0" applyFont="1" applyFill="1" applyBorder="1" applyAlignment="1" applyProtection="1">
      <alignment horizontal="left" vertical="center" indent="1"/>
      <protection hidden="1"/>
    </xf>
    <xf numFmtId="0" fontId="52" fillId="6" borderId="4" xfId="0" applyFont="1" applyFill="1" applyBorder="1" applyAlignment="1" applyProtection="1">
      <alignment horizontal="center" vertical="center" wrapText="1"/>
      <protection hidden="1"/>
    </xf>
    <xf numFmtId="0" fontId="135" fillId="10" borderId="4" xfId="3" applyFont="1" applyFill="1" applyBorder="1" applyAlignment="1">
      <alignment horizontal="left" vertical="center" indent="1"/>
    </xf>
    <xf numFmtId="0" fontId="5" fillId="6" borderId="0" xfId="2" applyFont="1" applyFill="1" applyBorder="1" applyAlignment="1" applyProtection="1">
      <alignment horizontal="left" vertical="top" wrapText="1"/>
      <protection hidden="1"/>
    </xf>
    <xf numFmtId="0" fontId="17" fillId="6" borderId="4" xfId="0" applyFont="1" applyFill="1" applyBorder="1" applyAlignment="1" applyProtection="1">
      <alignment horizontal="center" vertical="center"/>
      <protection hidden="1"/>
    </xf>
    <xf numFmtId="0" fontId="10" fillId="6" borderId="0" xfId="0" applyFont="1" applyFill="1" applyBorder="1" applyAlignment="1" applyProtection="1">
      <alignment horizontal="left" vertical="center" indent="1"/>
      <protection hidden="1"/>
    </xf>
    <xf numFmtId="0" fontId="13" fillId="6" borderId="10" xfId="0" applyFont="1" applyFill="1" applyBorder="1" applyAlignment="1" applyProtection="1">
      <alignment horizontal="left" vertical="center" wrapText="1" indent="1"/>
      <protection hidden="1"/>
    </xf>
    <xf numFmtId="0" fontId="13" fillId="6" borderId="7" xfId="0" applyFont="1" applyFill="1" applyBorder="1" applyAlignment="1" applyProtection="1">
      <alignment horizontal="left" vertical="center" wrapText="1" indent="1"/>
      <protection hidden="1"/>
    </xf>
    <xf numFmtId="0" fontId="13" fillId="6" borderId="7" xfId="0" applyFont="1" applyFill="1" applyBorder="1" applyAlignment="1" applyProtection="1">
      <alignment horizontal="center" vertical="center"/>
      <protection hidden="1"/>
    </xf>
    <xf numFmtId="0" fontId="13" fillId="6" borderId="8" xfId="0" applyFont="1" applyFill="1" applyBorder="1" applyAlignment="1" applyProtection="1">
      <alignment horizontal="center" vertical="center"/>
      <protection hidden="1"/>
    </xf>
    <xf numFmtId="166" fontId="14" fillId="20" borderId="10" xfId="0" applyNumberFormat="1" applyFont="1" applyFill="1" applyBorder="1" applyAlignment="1" applyProtection="1">
      <alignment horizontal="center" vertical="center" wrapText="1"/>
      <protection locked="0"/>
    </xf>
    <xf numFmtId="166" fontId="14" fillId="20" borderId="8" xfId="0" applyNumberFormat="1" applyFont="1" applyFill="1" applyBorder="1" applyAlignment="1" applyProtection="1">
      <alignment horizontal="center" vertical="center" wrapText="1"/>
      <protection locked="0"/>
    </xf>
    <xf numFmtId="0" fontId="2" fillId="18" borderId="28" xfId="2" applyFont="1" applyFill="1" applyBorder="1" applyAlignment="1" applyProtection="1">
      <alignment horizontal="center" vertical="center"/>
      <protection hidden="1"/>
    </xf>
    <xf numFmtId="0" fontId="2" fillId="18" borderId="29" xfId="2" applyFont="1" applyFill="1" applyBorder="1" applyAlignment="1" applyProtection="1">
      <alignment horizontal="center" vertical="center"/>
      <protection hidden="1"/>
    </xf>
    <xf numFmtId="0" fontId="2" fillId="20" borderId="20" xfId="2" applyFont="1" applyFill="1" applyBorder="1" applyAlignment="1" applyProtection="1">
      <alignment horizontal="center" vertical="center"/>
      <protection locked="0"/>
    </xf>
    <xf numFmtId="0" fontId="2" fillId="20" borderId="21" xfId="2" applyFont="1" applyFill="1" applyBorder="1" applyAlignment="1" applyProtection="1">
      <alignment horizontal="center" vertical="center"/>
      <protection locked="0"/>
    </xf>
    <xf numFmtId="0" fontId="2" fillId="2" borderId="71" xfId="2" applyFill="1" applyBorder="1" applyAlignment="1" applyProtection="1">
      <alignment horizontal="right" indent="1"/>
      <protection hidden="1"/>
    </xf>
    <xf numFmtId="0" fontId="2" fillId="2" borderId="0" xfId="2" applyFill="1" applyAlignment="1" applyProtection="1">
      <alignment horizontal="right" indent="1"/>
      <protection hidden="1"/>
    </xf>
    <xf numFmtId="0" fontId="14" fillId="20" borderId="38" xfId="0" applyNumberFormat="1" applyFont="1" applyFill="1" applyBorder="1" applyAlignment="1" applyProtection="1">
      <alignment horizontal="center" vertical="center" wrapText="1"/>
      <protection locked="0"/>
    </xf>
    <xf numFmtId="0" fontId="14" fillId="20" borderId="0" xfId="0" applyNumberFormat="1" applyFont="1" applyFill="1" applyBorder="1" applyAlignment="1" applyProtection="1">
      <alignment horizontal="center" vertical="center" wrapText="1"/>
      <protection locked="0"/>
    </xf>
    <xf numFmtId="166" fontId="14" fillId="10" borderId="65" xfId="0" applyNumberFormat="1" applyFont="1" applyFill="1" applyBorder="1" applyAlignment="1" applyProtection="1">
      <alignment horizontal="center" vertical="center" wrapText="1"/>
      <protection hidden="1"/>
    </xf>
    <xf numFmtId="0" fontId="21" fillId="2" borderId="0" xfId="0" applyFont="1" applyFill="1" applyBorder="1" applyAlignment="1" applyProtection="1">
      <alignment horizontal="left" wrapText="1" indent="5"/>
      <protection hidden="1"/>
    </xf>
    <xf numFmtId="0" fontId="2" fillId="2" borderId="0" xfId="2" applyFill="1" applyBorder="1" applyAlignment="1" applyProtection="1">
      <alignment horizontal="left" vertical="center" indent="5"/>
      <protection hidden="1"/>
    </xf>
    <xf numFmtId="0" fontId="2" fillId="2" borderId="0" xfId="2" applyFill="1" applyAlignment="1" applyProtection="1">
      <alignment horizontal="left" wrapText="1" indent="6"/>
      <protection hidden="1"/>
    </xf>
    <xf numFmtId="0" fontId="13" fillId="6" borderId="0" xfId="0" applyFont="1" applyFill="1" applyBorder="1" applyAlignment="1" applyProtection="1">
      <alignment horizontal="center" vertical="center"/>
      <protection hidden="1"/>
    </xf>
    <xf numFmtId="0" fontId="13" fillId="6" borderId="3" xfId="0" applyFont="1" applyFill="1" applyBorder="1" applyAlignment="1" applyProtection="1">
      <alignment horizontal="center" vertical="center" wrapText="1"/>
      <protection hidden="1"/>
    </xf>
    <xf numFmtId="0" fontId="167" fillId="2" borderId="38" xfId="2" applyFont="1" applyFill="1" applyBorder="1" applyAlignment="1" applyProtection="1">
      <alignment horizontal="center" vertical="center"/>
      <protection hidden="1"/>
    </xf>
    <xf numFmtId="0" fontId="167" fillId="2" borderId="0" xfId="2" applyFont="1" applyFill="1" applyAlignment="1" applyProtection="1">
      <alignment horizontal="center" vertical="center"/>
      <protection hidden="1"/>
    </xf>
    <xf numFmtId="0" fontId="2" fillId="4" borderId="4" xfId="2" applyFont="1" applyFill="1" applyBorder="1" applyAlignment="1" applyProtection="1">
      <alignment horizontal="center" vertical="center"/>
      <protection hidden="1"/>
    </xf>
    <xf numFmtId="0" fontId="2" fillId="2" borderId="0" xfId="2" applyFont="1" applyFill="1" applyBorder="1" applyAlignment="1" applyProtection="1">
      <alignment horizontal="left" vertical="center" wrapText="1" indent="2"/>
      <protection hidden="1"/>
    </xf>
    <xf numFmtId="0" fontId="13" fillId="6" borderId="10" xfId="0" applyFont="1" applyFill="1" applyBorder="1" applyAlignment="1" applyProtection="1">
      <alignment horizontal="left" vertical="center" indent="1"/>
      <protection hidden="1"/>
    </xf>
    <xf numFmtId="0" fontId="13" fillId="6" borderId="7" xfId="0" applyFont="1" applyFill="1" applyBorder="1" applyAlignment="1" applyProtection="1">
      <alignment horizontal="left" vertical="center" indent="1"/>
      <protection hidden="1"/>
    </xf>
    <xf numFmtId="0" fontId="13" fillId="6" borderId="7" xfId="0" applyFont="1" applyFill="1" applyBorder="1" applyAlignment="1" applyProtection="1">
      <alignment horizontal="center" vertical="center" wrapText="1"/>
      <protection hidden="1"/>
    </xf>
    <xf numFmtId="0" fontId="20" fillId="6" borderId="28" xfId="2" applyFont="1" applyFill="1" applyBorder="1" applyAlignment="1" applyProtection="1">
      <alignment horizontal="left" vertical="center" wrapText="1" indent="1"/>
      <protection hidden="1"/>
    </xf>
    <xf numFmtId="0" fontId="20" fillId="6" borderId="29" xfId="2" applyFont="1" applyFill="1" applyBorder="1" applyAlignment="1" applyProtection="1">
      <alignment horizontal="left" vertical="center" wrapText="1" indent="1"/>
      <protection hidden="1"/>
    </xf>
    <xf numFmtId="0" fontId="13" fillId="6" borderId="79" xfId="0" applyFont="1" applyFill="1" applyBorder="1" applyAlignment="1" applyProtection="1">
      <alignment horizontal="center" vertical="center"/>
      <protection hidden="1"/>
    </xf>
    <xf numFmtId="0" fontId="13" fillId="6" borderId="78" xfId="0" applyFont="1" applyFill="1" applyBorder="1" applyAlignment="1" applyProtection="1">
      <alignment horizontal="center" vertical="center"/>
      <protection hidden="1"/>
    </xf>
    <xf numFmtId="0" fontId="14" fillId="4" borderId="65" xfId="0" applyFont="1" applyFill="1" applyBorder="1" applyAlignment="1" applyProtection="1">
      <alignment horizontal="center" vertical="center" wrapText="1"/>
      <protection hidden="1"/>
    </xf>
    <xf numFmtId="0" fontId="2" fillId="11" borderId="25" xfId="2" applyFont="1" applyFill="1" applyBorder="1" applyAlignment="1" applyProtection="1">
      <alignment horizontal="left" vertical="center" wrapText="1"/>
      <protection hidden="1"/>
    </xf>
    <xf numFmtId="0" fontId="2" fillId="11" borderId="26" xfId="2" applyFont="1" applyFill="1" applyBorder="1" applyAlignment="1" applyProtection="1">
      <alignment horizontal="left" vertical="center" wrapText="1"/>
      <protection hidden="1"/>
    </xf>
    <xf numFmtId="0" fontId="2" fillId="11" borderId="27" xfId="2" applyFont="1" applyFill="1" applyBorder="1" applyAlignment="1" applyProtection="1">
      <alignment horizontal="left" vertical="center" wrapText="1"/>
      <protection hidden="1"/>
    </xf>
    <xf numFmtId="0" fontId="20" fillId="6" borderId="28" xfId="2" applyFont="1" applyFill="1" applyBorder="1" applyAlignment="1" applyProtection="1">
      <alignment horizontal="left" vertical="center" wrapText="1"/>
      <protection hidden="1"/>
    </xf>
    <xf numFmtId="0" fontId="20" fillId="6" borderId="29" xfId="2" applyFont="1" applyFill="1" applyBorder="1" applyAlignment="1" applyProtection="1">
      <alignment horizontal="left" vertical="center" wrapText="1"/>
      <protection hidden="1"/>
    </xf>
    <xf numFmtId="0" fontId="2" fillId="10" borderId="63" xfId="2" applyFill="1" applyBorder="1" applyAlignment="1" applyProtection="1">
      <alignment horizontal="left" wrapText="1" indent="8"/>
      <protection hidden="1"/>
    </xf>
    <xf numFmtId="0" fontId="2" fillId="10" borderId="0" xfId="2" applyFill="1" applyBorder="1" applyAlignment="1" applyProtection="1">
      <alignment horizontal="left" wrapText="1" indent="8"/>
      <protection hidden="1"/>
    </xf>
    <xf numFmtId="0" fontId="2" fillId="10" borderId="64" xfId="2" applyFill="1" applyBorder="1" applyAlignment="1" applyProtection="1">
      <alignment horizontal="left" wrapText="1" indent="8"/>
      <protection hidden="1"/>
    </xf>
    <xf numFmtId="0" fontId="2" fillId="10" borderId="25" xfId="2" applyFill="1" applyBorder="1" applyAlignment="1" applyProtection="1">
      <alignment horizontal="left" wrapText="1" indent="8"/>
      <protection hidden="1"/>
    </xf>
    <xf numFmtId="0" fontId="2" fillId="10" borderId="26" xfId="2" applyFill="1" applyBorder="1" applyAlignment="1" applyProtection="1">
      <alignment horizontal="left" wrapText="1" indent="8"/>
      <protection hidden="1"/>
    </xf>
    <xf numFmtId="0" fontId="2" fillId="10" borderId="27" xfId="2" applyFill="1" applyBorder="1" applyAlignment="1" applyProtection="1">
      <alignment horizontal="left" wrapText="1" indent="8"/>
      <protection hidden="1"/>
    </xf>
    <xf numFmtId="0" fontId="13" fillId="6" borderId="77" xfId="0" applyFont="1" applyFill="1" applyBorder="1" applyAlignment="1" applyProtection="1">
      <alignment horizontal="center" vertical="center" wrapText="1"/>
      <protection hidden="1"/>
    </xf>
    <xf numFmtId="0" fontId="13" fillId="6" borderId="78" xfId="0" applyFont="1" applyFill="1" applyBorder="1" applyAlignment="1" applyProtection="1">
      <alignment horizontal="center" vertical="center" wrapText="1"/>
      <protection hidden="1"/>
    </xf>
    <xf numFmtId="0" fontId="40" fillId="6" borderId="0" xfId="0" applyFont="1" applyFill="1" applyBorder="1" applyAlignment="1" applyProtection="1">
      <alignment horizontal="left" vertical="center" indent="1"/>
      <protection hidden="1"/>
    </xf>
    <xf numFmtId="0" fontId="2" fillId="10" borderId="69" xfId="2" applyFont="1" applyFill="1" applyBorder="1" applyAlignment="1" applyProtection="1">
      <alignment horizontal="left" indent="6"/>
      <protection hidden="1"/>
    </xf>
    <xf numFmtId="0" fontId="2" fillId="10" borderId="68" xfId="2" applyFont="1" applyFill="1" applyBorder="1" applyAlignment="1" applyProtection="1">
      <alignment horizontal="left" indent="6"/>
      <protection hidden="1"/>
    </xf>
    <xf numFmtId="0" fontId="2" fillId="10" borderId="70" xfId="2" applyFont="1" applyFill="1" applyBorder="1" applyAlignment="1" applyProtection="1">
      <alignment horizontal="left" indent="6"/>
      <protection hidden="1"/>
    </xf>
    <xf numFmtId="0" fontId="2" fillId="10" borderId="71" xfId="0" applyFont="1" applyFill="1" applyBorder="1" applyAlignment="1" applyProtection="1">
      <alignment horizontal="left" vertical="center" indent="7"/>
      <protection hidden="1"/>
    </xf>
    <xf numFmtId="0" fontId="2" fillId="10" borderId="72" xfId="0" applyFont="1" applyFill="1" applyBorder="1" applyAlignment="1" applyProtection="1">
      <alignment horizontal="left" vertical="center" indent="7"/>
      <protection hidden="1"/>
    </xf>
    <xf numFmtId="0" fontId="2" fillId="10" borderId="71" xfId="0" applyFont="1" applyFill="1" applyBorder="1" applyAlignment="1" applyProtection="1">
      <alignment horizontal="left" vertical="center" wrapText="1" indent="7"/>
      <protection hidden="1"/>
    </xf>
    <xf numFmtId="0" fontId="2" fillId="10" borderId="0" xfId="0" applyFont="1" applyFill="1" applyBorder="1" applyAlignment="1" applyProtection="1">
      <alignment horizontal="left" vertical="center" wrapText="1" indent="7"/>
      <protection hidden="1"/>
    </xf>
    <xf numFmtId="0" fontId="2" fillId="10" borderId="72" xfId="0" applyFont="1" applyFill="1" applyBorder="1" applyAlignment="1" applyProtection="1">
      <alignment horizontal="left" vertical="center" wrapText="1" indent="7"/>
      <protection hidden="1"/>
    </xf>
    <xf numFmtId="0" fontId="2" fillId="10" borderId="73" xfId="0" applyFont="1" applyFill="1" applyBorder="1" applyAlignment="1" applyProtection="1">
      <alignment horizontal="left" vertical="center" indent="7"/>
      <protection hidden="1"/>
    </xf>
    <xf numFmtId="0" fontId="2" fillId="10" borderId="6" xfId="0" applyFont="1" applyFill="1" applyBorder="1" applyAlignment="1" applyProtection="1">
      <alignment horizontal="left" vertical="center" indent="7"/>
      <protection hidden="1"/>
    </xf>
    <xf numFmtId="0" fontId="2" fillId="10" borderId="74" xfId="0" applyFont="1" applyFill="1" applyBorder="1" applyAlignment="1" applyProtection="1">
      <alignment horizontal="left" vertical="center" indent="7"/>
      <protection hidden="1"/>
    </xf>
    <xf numFmtId="0" fontId="13" fillId="6" borderId="8" xfId="0" applyFont="1" applyFill="1" applyBorder="1" applyAlignment="1" applyProtection="1">
      <alignment horizontal="center" vertical="center" wrapText="1"/>
      <protection hidden="1"/>
    </xf>
    <xf numFmtId="166" fontId="14" fillId="20" borderId="4" xfId="0" applyNumberFormat="1" applyFont="1" applyFill="1" applyBorder="1" applyAlignment="1" applyProtection="1">
      <alignment horizontal="center" vertical="center" wrapText="1"/>
      <protection locked="0"/>
    </xf>
    <xf numFmtId="0" fontId="17" fillId="6" borderId="10" xfId="0" applyFont="1" applyFill="1" applyBorder="1" applyAlignment="1" applyProtection="1">
      <alignment horizontal="center" vertical="center"/>
      <protection hidden="1"/>
    </xf>
    <xf numFmtId="0" fontId="17" fillId="6" borderId="7" xfId="0" applyFont="1" applyFill="1" applyBorder="1" applyAlignment="1" applyProtection="1">
      <alignment horizontal="center" vertical="center"/>
      <protection hidden="1"/>
    </xf>
    <xf numFmtId="0" fontId="17" fillId="6" borderId="8" xfId="0" applyFont="1" applyFill="1" applyBorder="1" applyAlignment="1" applyProtection="1">
      <alignment horizontal="center" vertical="center"/>
      <protection hidden="1"/>
    </xf>
    <xf numFmtId="0" fontId="2" fillId="10" borderId="71" xfId="2" applyFill="1" applyBorder="1" applyAlignment="1" applyProtection="1">
      <alignment horizontal="left" indent="7"/>
      <protection hidden="1"/>
    </xf>
    <xf numFmtId="0" fontId="2" fillId="10" borderId="72" xfId="2" applyFill="1" applyBorder="1" applyAlignment="1" applyProtection="1">
      <alignment horizontal="left" indent="7"/>
      <protection hidden="1"/>
    </xf>
    <xf numFmtId="0" fontId="22" fillId="10" borderId="73" xfId="2" applyFont="1" applyFill="1" applyBorder="1" applyAlignment="1" applyProtection="1">
      <alignment horizontal="left" indent="6"/>
      <protection hidden="1"/>
    </xf>
    <xf numFmtId="0" fontId="22" fillId="10" borderId="6" xfId="2" applyFont="1" applyFill="1" applyBorder="1" applyAlignment="1" applyProtection="1">
      <alignment horizontal="left" indent="6"/>
      <protection hidden="1"/>
    </xf>
    <xf numFmtId="0" fontId="22" fillId="10" borderId="74" xfId="2" applyFont="1" applyFill="1" applyBorder="1" applyAlignment="1" applyProtection="1">
      <alignment horizontal="left" indent="6"/>
      <protection hidden="1"/>
    </xf>
    <xf numFmtId="0" fontId="2" fillId="4" borderId="10" xfId="0" applyFont="1" applyFill="1" applyBorder="1" applyAlignment="1">
      <alignment horizontal="left" vertical="center" wrapText="1" indent="1"/>
    </xf>
    <xf numFmtId="0" fontId="2" fillId="4" borderId="7" xfId="0" applyFont="1" applyFill="1" applyBorder="1" applyAlignment="1">
      <alignment horizontal="left" vertical="center" wrapText="1" indent="1"/>
    </xf>
    <xf numFmtId="10" fontId="14" fillId="20" borderId="10" xfId="1" applyNumberFormat="1" applyFont="1" applyFill="1" applyBorder="1" applyAlignment="1" applyProtection="1">
      <alignment horizontal="center" vertical="center" wrapText="1"/>
      <protection locked="0"/>
    </xf>
    <xf numFmtId="10" fontId="14" fillId="20" borderId="8" xfId="1" applyNumberFormat="1" applyFont="1" applyFill="1" applyBorder="1" applyAlignment="1" applyProtection="1">
      <alignment horizontal="center" vertical="center" wrapText="1"/>
      <protection locked="0"/>
    </xf>
    <xf numFmtId="0" fontId="14" fillId="10" borderId="31" xfId="0" applyFont="1" applyFill="1" applyBorder="1" applyAlignment="1" applyProtection="1">
      <alignment horizontal="center" vertical="center" wrapText="1"/>
      <protection hidden="1"/>
    </xf>
    <xf numFmtId="0" fontId="13" fillId="6" borderId="33" xfId="0" applyFont="1" applyFill="1" applyBorder="1" applyAlignment="1" applyProtection="1">
      <alignment horizontal="center" vertical="center"/>
      <protection hidden="1"/>
    </xf>
    <xf numFmtId="0" fontId="13" fillId="6" borderId="34" xfId="0" applyFont="1" applyFill="1" applyBorder="1" applyAlignment="1" applyProtection="1">
      <alignment horizontal="center" vertical="center"/>
      <protection hidden="1"/>
    </xf>
    <xf numFmtId="0" fontId="6" fillId="9" borderId="4" xfId="2" applyFont="1" applyFill="1" applyBorder="1" applyAlignment="1" applyProtection="1">
      <alignment horizontal="center" vertical="center" wrapText="1"/>
      <protection hidden="1"/>
    </xf>
    <xf numFmtId="0" fontId="21" fillId="25" borderId="0" xfId="2" applyFont="1" applyFill="1" applyAlignment="1" applyProtection="1">
      <alignment horizontal="center" vertical="center" wrapText="1"/>
      <protection hidden="1"/>
    </xf>
    <xf numFmtId="0" fontId="22" fillId="11" borderId="5" xfId="2" applyFont="1" applyFill="1" applyBorder="1" applyAlignment="1" applyProtection="1">
      <alignment horizontal="center" vertical="center"/>
      <protection hidden="1"/>
    </xf>
    <xf numFmtId="0" fontId="20" fillId="6" borderId="21" xfId="2" applyFont="1" applyFill="1" applyBorder="1" applyAlignment="1" applyProtection="1">
      <alignment horizontal="center" vertical="center" wrapText="1"/>
      <protection hidden="1"/>
    </xf>
    <xf numFmtId="0" fontId="20" fillId="6" borderId="20" xfId="2" applyFont="1" applyFill="1" applyBorder="1" applyAlignment="1" applyProtection="1">
      <alignment horizontal="center" vertical="center" wrapText="1"/>
      <protection hidden="1"/>
    </xf>
    <xf numFmtId="0" fontId="20" fillId="6" borderId="5" xfId="2" applyFont="1" applyFill="1" applyBorder="1" applyAlignment="1" applyProtection="1">
      <alignment horizontal="center" vertical="center" wrapText="1"/>
      <protection hidden="1"/>
    </xf>
    <xf numFmtId="0" fontId="2" fillId="4" borderId="8" xfId="0" applyFont="1" applyFill="1" applyBorder="1" applyAlignment="1">
      <alignment horizontal="left" vertical="center" wrapText="1" indent="1"/>
    </xf>
    <xf numFmtId="0" fontId="20" fillId="6" borderId="5" xfId="2" applyFont="1" applyFill="1" applyBorder="1" applyAlignment="1" applyProtection="1">
      <alignment horizontal="left" vertical="center" wrapText="1"/>
      <protection hidden="1"/>
    </xf>
    <xf numFmtId="0" fontId="20" fillId="6" borderId="20" xfId="2" applyFont="1" applyFill="1" applyBorder="1" applyAlignment="1" applyProtection="1">
      <alignment horizontal="left" vertical="center" wrapText="1"/>
      <protection hidden="1"/>
    </xf>
    <xf numFmtId="0" fontId="2" fillId="20" borderId="28" xfId="2" applyFont="1" applyFill="1" applyBorder="1" applyAlignment="1" applyProtection="1">
      <alignment horizontal="center" vertical="center"/>
      <protection locked="0"/>
    </xf>
    <xf numFmtId="0" fontId="2" fillId="20" borderId="29" xfId="2" applyFont="1" applyFill="1" applyBorder="1" applyAlignment="1" applyProtection="1">
      <alignment horizontal="center" vertical="center"/>
      <protection locked="0"/>
    </xf>
    <xf numFmtId="0" fontId="2" fillId="20" borderId="30" xfId="2" applyFont="1" applyFill="1" applyBorder="1" applyAlignment="1" applyProtection="1">
      <alignment horizontal="center" vertical="center"/>
      <protection locked="0"/>
    </xf>
    <xf numFmtId="0" fontId="14" fillId="20" borderId="35" xfId="0" applyFont="1" applyFill="1" applyBorder="1" applyAlignment="1" applyProtection="1">
      <alignment horizontal="center" vertical="center" wrapText="1"/>
      <protection locked="0"/>
    </xf>
    <xf numFmtId="0" fontId="14" fillId="20" borderId="3" xfId="0" applyFont="1" applyFill="1" applyBorder="1" applyAlignment="1" applyProtection="1">
      <alignment horizontal="center" vertical="center" wrapText="1"/>
      <protection locked="0"/>
    </xf>
    <xf numFmtId="0" fontId="14" fillId="20" borderId="36" xfId="0" applyFont="1" applyFill="1" applyBorder="1" applyAlignment="1" applyProtection="1">
      <alignment horizontal="center" vertical="center" wrapText="1"/>
      <protection locked="0"/>
    </xf>
    <xf numFmtId="0" fontId="11" fillId="6" borderId="4" xfId="0" applyFont="1" applyFill="1" applyBorder="1" applyAlignment="1">
      <alignment horizontal="center" vertical="center" wrapText="1"/>
    </xf>
    <xf numFmtId="0" fontId="11" fillId="6" borderId="4" xfId="0" applyFont="1" applyFill="1" applyBorder="1" applyAlignment="1">
      <alignment wrapText="1"/>
    </xf>
    <xf numFmtId="0" fontId="11" fillId="6" borderId="34" xfId="0" applyFont="1" applyFill="1" applyBorder="1" applyAlignment="1">
      <alignment horizontal="center" vertical="center" wrapText="1"/>
    </xf>
    <xf numFmtId="0" fontId="11" fillId="6" borderId="36" xfId="0" applyFont="1" applyFill="1" applyBorder="1" applyAlignment="1">
      <alignment horizontal="center" vertical="center" wrapText="1"/>
    </xf>
    <xf numFmtId="0" fontId="11" fillId="6" borderId="33" xfId="0" applyFont="1" applyFill="1" applyBorder="1" applyAlignment="1">
      <alignment horizontal="center" vertical="center" wrapText="1"/>
    </xf>
    <xf numFmtId="0" fontId="11" fillId="6" borderId="3" xfId="0" applyFont="1" applyFill="1" applyBorder="1" applyAlignment="1">
      <alignment horizontal="center" vertical="center" wrapText="1"/>
    </xf>
    <xf numFmtId="0" fontId="11" fillId="6" borderId="33" xfId="0" applyFont="1" applyFill="1" applyBorder="1" applyAlignment="1">
      <alignment horizontal="center" vertical="center"/>
    </xf>
    <xf numFmtId="0" fontId="11" fillId="6" borderId="32" xfId="0" applyFont="1" applyFill="1" applyBorder="1" applyAlignment="1">
      <alignment horizontal="center" vertical="center" wrapText="1"/>
    </xf>
    <xf numFmtId="0" fontId="11" fillId="6" borderId="35" xfId="0" applyFont="1" applyFill="1" applyBorder="1"/>
    <xf numFmtId="0" fontId="11" fillId="6" borderId="3" xfId="0" applyFont="1" applyFill="1" applyBorder="1" applyAlignment="1">
      <alignment wrapText="1"/>
    </xf>
    <xf numFmtId="0" fontId="2" fillId="11" borderId="5" xfId="2" applyFont="1" applyFill="1" applyBorder="1" applyAlignment="1" applyProtection="1">
      <alignment horizontal="left" vertical="center" wrapText="1"/>
      <protection hidden="1"/>
    </xf>
    <xf numFmtId="0" fontId="73" fillId="2" borderId="0" xfId="2" applyFont="1" applyFill="1" applyAlignment="1" applyProtection="1">
      <alignment horizontal="right" vertical="center" wrapText="1" indent="1"/>
      <protection hidden="1"/>
    </xf>
    <xf numFmtId="0" fontId="73" fillId="2" borderId="26" xfId="2" applyFont="1" applyFill="1" applyBorder="1" applyAlignment="1" applyProtection="1">
      <alignment horizontal="right" vertical="center" wrapText="1" indent="1"/>
      <protection hidden="1"/>
    </xf>
    <xf numFmtId="0" fontId="17" fillId="6" borderId="32" xfId="0" applyFont="1" applyFill="1" applyBorder="1" applyAlignment="1" applyProtection="1">
      <alignment horizontal="center" vertical="center"/>
      <protection hidden="1"/>
    </xf>
    <xf numFmtId="0" fontId="17" fillId="6" borderId="33" xfId="0" applyFont="1" applyFill="1" applyBorder="1" applyAlignment="1" applyProtection="1">
      <alignment horizontal="center" vertical="center"/>
      <protection hidden="1"/>
    </xf>
    <xf numFmtId="0" fontId="17" fillId="6" borderId="34" xfId="0" applyFont="1" applyFill="1" applyBorder="1" applyAlignment="1" applyProtection="1">
      <alignment horizontal="center" vertical="center"/>
      <protection hidden="1"/>
    </xf>
    <xf numFmtId="0" fontId="2" fillId="26" borderId="0" xfId="0" applyFont="1" applyFill="1" applyAlignment="1">
      <alignment horizontal="left" vertical="center" wrapText="1" indent="6"/>
    </xf>
    <xf numFmtId="0" fontId="21" fillId="25" borderId="0" xfId="2" applyFont="1" applyFill="1" applyAlignment="1" applyProtection="1">
      <alignment horizontal="center" vertical="center"/>
      <protection hidden="1"/>
    </xf>
    <xf numFmtId="0" fontId="2" fillId="25" borderId="0" xfId="2" applyFill="1" applyBorder="1" applyAlignment="1" applyProtection="1">
      <alignment horizontal="left" vertical="top" wrapText="1"/>
      <protection hidden="1"/>
    </xf>
    <xf numFmtId="0" fontId="2" fillId="25" borderId="0" xfId="2" applyFill="1" applyBorder="1" applyAlignment="1" applyProtection="1">
      <alignment horizontal="left" vertical="center" wrapText="1"/>
      <protection hidden="1"/>
    </xf>
    <xf numFmtId="0" fontId="21" fillId="25" borderId="0" xfId="2" applyFont="1" applyFill="1" applyAlignment="1" applyProtection="1">
      <alignment horizontal="left" vertical="center" indent="3"/>
      <protection hidden="1"/>
    </xf>
    <xf numFmtId="0" fontId="2" fillId="25" borderId="0" xfId="2" applyFont="1" applyFill="1" applyBorder="1" applyAlignment="1" applyProtection="1">
      <alignment horizontal="left" vertical="center" wrapText="1"/>
      <protection hidden="1"/>
    </xf>
    <xf numFmtId="0" fontId="50" fillId="6" borderId="4" xfId="0" applyFont="1" applyFill="1" applyBorder="1" applyAlignment="1">
      <alignment horizontal="center" vertical="center" wrapText="1"/>
    </xf>
    <xf numFmtId="0" fontId="21" fillId="2" borderId="0" xfId="2" applyFont="1" applyFill="1" applyBorder="1" applyAlignment="1" applyProtection="1">
      <alignment horizontal="center" wrapText="1"/>
      <protection hidden="1"/>
    </xf>
    <xf numFmtId="0" fontId="2" fillId="10" borderId="69" xfId="2" applyFill="1" applyBorder="1" applyAlignment="1" applyProtection="1">
      <alignment horizontal="left" vertical="center" wrapText="1" indent="6"/>
      <protection hidden="1"/>
    </xf>
    <xf numFmtId="0" fontId="2" fillId="10" borderId="68" xfId="2" applyFill="1" applyBorder="1" applyAlignment="1" applyProtection="1">
      <alignment horizontal="left" vertical="center" wrapText="1" indent="6"/>
      <protection hidden="1"/>
    </xf>
    <xf numFmtId="0" fontId="2" fillId="10" borderId="70" xfId="2" applyFill="1" applyBorder="1" applyAlignment="1" applyProtection="1">
      <alignment horizontal="left" vertical="center" wrapText="1" indent="6"/>
      <protection hidden="1"/>
    </xf>
    <xf numFmtId="0" fontId="21" fillId="2" borderId="0" xfId="2" applyFont="1" applyFill="1" applyBorder="1" applyAlignment="1" applyProtection="1">
      <alignment horizontal="center"/>
      <protection hidden="1"/>
    </xf>
    <xf numFmtId="0" fontId="50" fillId="6" borderId="4" xfId="0" applyFont="1" applyFill="1" applyBorder="1" applyAlignment="1">
      <alignment horizontal="left" vertical="center" wrapText="1"/>
    </xf>
    <xf numFmtId="0" fontId="14" fillId="15" borderId="32" xfId="0" applyFont="1" applyFill="1" applyBorder="1" applyAlignment="1">
      <alignment horizontal="left" vertical="center" wrapText="1"/>
    </xf>
    <xf numFmtId="0" fontId="14" fillId="15" borderId="33" xfId="0" applyFont="1" applyFill="1" applyBorder="1" applyAlignment="1">
      <alignment horizontal="left" vertical="center" wrapText="1"/>
    </xf>
    <xf numFmtId="0" fontId="14" fillId="15" borderId="34" xfId="0" applyFont="1" applyFill="1" applyBorder="1" applyAlignment="1">
      <alignment horizontal="left" vertical="center" wrapText="1"/>
    </xf>
    <xf numFmtId="0" fontId="14" fillId="15" borderId="35" xfId="0" applyFont="1" applyFill="1" applyBorder="1" applyAlignment="1">
      <alignment horizontal="left" vertical="center" wrapText="1"/>
    </xf>
    <xf numFmtId="0" fontId="14" fillId="15" borderId="3" xfId="0" applyFont="1" applyFill="1" applyBorder="1" applyAlignment="1">
      <alignment horizontal="left" vertical="center" wrapText="1"/>
    </xf>
    <xf numFmtId="0" fontId="14" fillId="15" borderId="36" xfId="0" applyFont="1" applyFill="1" applyBorder="1" applyAlignment="1">
      <alignment horizontal="left" vertical="center" wrapText="1"/>
    </xf>
    <xf numFmtId="0" fontId="14" fillId="15" borderId="38" xfId="0" applyFont="1" applyFill="1" applyBorder="1" applyAlignment="1">
      <alignment horizontal="left" vertical="center" wrapText="1"/>
    </xf>
    <xf numFmtId="0" fontId="14" fillId="15" borderId="0" xfId="0" applyFont="1" applyFill="1" applyBorder="1" applyAlignment="1">
      <alignment horizontal="left" vertical="center" wrapText="1"/>
    </xf>
    <xf numFmtId="0" fontId="14" fillId="15" borderId="22" xfId="0" applyFont="1" applyFill="1" applyBorder="1" applyAlignment="1">
      <alignment horizontal="left" vertical="center" wrapText="1"/>
    </xf>
    <xf numFmtId="0" fontId="8" fillId="18" borderId="20" xfId="2" applyFont="1" applyFill="1" applyBorder="1" applyAlignment="1" applyProtection="1">
      <alignment horizontal="center" vertical="center"/>
      <protection hidden="1"/>
    </xf>
    <xf numFmtId="0" fontId="8" fillId="18" borderId="21" xfId="2" applyFont="1" applyFill="1" applyBorder="1" applyAlignment="1" applyProtection="1">
      <alignment horizontal="center" vertical="center"/>
      <protection hidden="1"/>
    </xf>
    <xf numFmtId="0" fontId="8" fillId="20" borderId="20" xfId="2" applyFont="1" applyFill="1" applyBorder="1" applyAlignment="1" applyProtection="1">
      <alignment horizontal="center" vertical="center"/>
      <protection locked="0"/>
    </xf>
    <xf numFmtId="0" fontId="8" fillId="20" borderId="24" xfId="2" applyFont="1" applyFill="1" applyBorder="1" applyAlignment="1" applyProtection="1">
      <alignment horizontal="center" vertical="center"/>
      <protection locked="0"/>
    </xf>
    <xf numFmtId="0" fontId="8" fillId="20" borderId="21" xfId="2" applyFont="1" applyFill="1" applyBorder="1" applyAlignment="1" applyProtection="1">
      <alignment horizontal="center" vertical="center"/>
      <protection locked="0"/>
    </xf>
    <xf numFmtId="0" fontId="52" fillId="3" borderId="4" xfId="0" applyFont="1" applyFill="1" applyBorder="1" applyAlignment="1" applyProtection="1">
      <alignment horizontal="center" vertical="center" wrapText="1"/>
      <protection hidden="1"/>
    </xf>
    <xf numFmtId="0" fontId="134" fillId="10" borderId="10" xfId="3" applyFont="1" applyFill="1" applyBorder="1" applyAlignment="1">
      <alignment horizontal="left" vertical="center" indent="1"/>
    </xf>
    <xf numFmtId="0" fontId="134" fillId="10" borderId="8" xfId="3" applyFont="1" applyFill="1" applyBorder="1" applyAlignment="1">
      <alignment horizontal="left" vertical="center" indent="1"/>
    </xf>
    <xf numFmtId="0" fontId="51" fillId="3" borderId="0" xfId="2" applyFont="1" applyFill="1" applyAlignment="1">
      <alignment horizontal="left" vertical="center" wrapText="1"/>
    </xf>
    <xf numFmtId="0" fontId="5" fillId="3" borderId="0" xfId="2" applyFont="1" applyFill="1" applyAlignment="1" applyProtection="1">
      <alignment horizontal="left" vertical="center" wrapText="1"/>
      <protection hidden="1"/>
    </xf>
    <xf numFmtId="0" fontId="52" fillId="3" borderId="32" xfId="0" applyFont="1" applyFill="1" applyBorder="1" applyAlignment="1" applyProtection="1">
      <alignment horizontal="left" vertical="center" indent="1"/>
      <protection hidden="1"/>
    </xf>
    <xf numFmtId="0" fontId="52" fillId="3" borderId="34" xfId="0" applyFont="1" applyFill="1" applyBorder="1" applyAlignment="1" applyProtection="1">
      <alignment horizontal="left" vertical="center" indent="1"/>
      <protection hidden="1"/>
    </xf>
    <xf numFmtId="0" fontId="52" fillId="3" borderId="35" xfId="0" applyFont="1" applyFill="1" applyBorder="1" applyAlignment="1" applyProtection="1">
      <alignment horizontal="left" vertical="center" indent="1"/>
      <protection hidden="1"/>
    </xf>
    <xf numFmtId="0" fontId="52" fillId="3" borderId="36" xfId="0" applyFont="1" applyFill="1" applyBorder="1" applyAlignment="1" applyProtection="1">
      <alignment horizontal="left" vertical="center" indent="1"/>
      <protection hidden="1"/>
    </xf>
    <xf numFmtId="0" fontId="2" fillId="11" borderId="30" xfId="2" applyFont="1" applyFill="1" applyBorder="1" applyAlignment="1" applyProtection="1">
      <alignment horizontal="left" vertical="center" wrapText="1" indent="1"/>
      <protection hidden="1"/>
    </xf>
    <xf numFmtId="0" fontId="10" fillId="3" borderId="0" xfId="0" applyFont="1" applyFill="1" applyBorder="1" applyAlignment="1" applyProtection="1">
      <alignment horizontal="left" vertical="center" indent="1"/>
      <protection hidden="1"/>
    </xf>
    <xf numFmtId="0" fontId="9" fillId="3" borderId="0" xfId="0" applyFont="1" applyFill="1" applyBorder="1" applyAlignment="1" applyProtection="1">
      <alignment horizontal="left" vertical="center" indent="1"/>
      <protection hidden="1"/>
    </xf>
    <xf numFmtId="0" fontId="68" fillId="11" borderId="69" xfId="2" applyFont="1" applyFill="1" applyBorder="1" applyAlignment="1" applyProtection="1">
      <alignment horizontal="left" vertical="center" wrapText="1" indent="1"/>
      <protection hidden="1"/>
    </xf>
    <xf numFmtId="0" fontId="68" fillId="11" borderId="68" xfId="2" applyFont="1" applyFill="1" applyBorder="1" applyAlignment="1" applyProtection="1">
      <alignment horizontal="left" vertical="center" wrapText="1" indent="1"/>
      <protection hidden="1"/>
    </xf>
    <xf numFmtId="0" fontId="68" fillId="11" borderId="70" xfId="2" applyFont="1" applyFill="1" applyBorder="1" applyAlignment="1" applyProtection="1">
      <alignment horizontal="left" vertical="center" wrapText="1" indent="1"/>
      <protection hidden="1"/>
    </xf>
    <xf numFmtId="0" fontId="68" fillId="11" borderId="71" xfId="2" applyFont="1" applyFill="1" applyBorder="1" applyAlignment="1" applyProtection="1">
      <alignment horizontal="left" vertical="center" wrapText="1" indent="1"/>
      <protection hidden="1"/>
    </xf>
    <xf numFmtId="0" fontId="68" fillId="11" borderId="72" xfId="2" applyFont="1" applyFill="1" applyBorder="1" applyAlignment="1" applyProtection="1">
      <alignment horizontal="left" vertical="center" wrapText="1" indent="1"/>
      <protection hidden="1"/>
    </xf>
    <xf numFmtId="0" fontId="68" fillId="11" borderId="73" xfId="2" applyFont="1" applyFill="1" applyBorder="1" applyAlignment="1" applyProtection="1">
      <alignment horizontal="left" vertical="center" wrapText="1" indent="1"/>
      <protection hidden="1"/>
    </xf>
    <xf numFmtId="0" fontId="68" fillId="11" borderId="6" xfId="2" applyFont="1" applyFill="1" applyBorder="1" applyAlignment="1" applyProtection="1">
      <alignment horizontal="left" vertical="center" wrapText="1" indent="1"/>
      <protection hidden="1"/>
    </xf>
    <xf numFmtId="0" fontId="68" fillId="11" borderId="74" xfId="2" applyFont="1" applyFill="1" applyBorder="1" applyAlignment="1" applyProtection="1">
      <alignment horizontal="left" vertical="center" wrapText="1" indent="1"/>
      <protection hidden="1"/>
    </xf>
    <xf numFmtId="0" fontId="20" fillId="3" borderId="28" xfId="2" applyFont="1" applyFill="1" applyBorder="1" applyAlignment="1" applyProtection="1">
      <alignment horizontal="left" vertical="center" wrapText="1" indent="1"/>
      <protection hidden="1"/>
    </xf>
    <xf numFmtId="0" fontId="20" fillId="3" borderId="29" xfId="2" applyFont="1" applyFill="1" applyBorder="1" applyAlignment="1" applyProtection="1">
      <alignment horizontal="left" vertical="center" wrapText="1" indent="1"/>
      <protection hidden="1"/>
    </xf>
    <xf numFmtId="0" fontId="40" fillId="3" borderId="0" xfId="0" applyFont="1" applyFill="1" applyBorder="1" applyAlignment="1" applyProtection="1">
      <alignment horizontal="left" vertical="center" indent="1"/>
      <protection hidden="1"/>
    </xf>
    <xf numFmtId="0" fontId="17" fillId="3" borderId="4" xfId="0" applyFont="1" applyFill="1" applyBorder="1" applyAlignment="1" applyProtection="1">
      <alignment horizontal="center" vertical="center"/>
      <protection hidden="1"/>
    </xf>
    <xf numFmtId="0" fontId="41" fillId="3" borderId="10" xfId="0" applyFont="1" applyFill="1" applyBorder="1" applyAlignment="1" applyProtection="1">
      <alignment horizontal="left" vertical="center" wrapText="1"/>
      <protection hidden="1"/>
    </xf>
    <xf numFmtId="0" fontId="41" fillId="3" borderId="7" xfId="0" applyFont="1" applyFill="1" applyBorder="1" applyAlignment="1" applyProtection="1">
      <alignment horizontal="left" vertical="center" wrapText="1"/>
      <protection hidden="1"/>
    </xf>
    <xf numFmtId="0" fontId="41" fillId="3" borderId="8" xfId="0" applyFont="1" applyFill="1" applyBorder="1" applyAlignment="1" applyProtection="1">
      <alignment horizontal="left" vertical="center" wrapText="1"/>
      <protection hidden="1"/>
    </xf>
    <xf numFmtId="0" fontId="21" fillId="18" borderId="32" xfId="0" applyFont="1" applyFill="1" applyBorder="1" applyAlignment="1" applyProtection="1">
      <alignment horizontal="left" vertical="center" wrapText="1"/>
      <protection hidden="1"/>
    </xf>
    <xf numFmtId="0" fontId="21" fillId="18" borderId="33" xfId="0" applyFont="1" applyFill="1" applyBorder="1" applyAlignment="1" applyProtection="1">
      <alignment horizontal="left" vertical="center" wrapText="1"/>
      <protection hidden="1"/>
    </xf>
    <xf numFmtId="0" fontId="21" fillId="18" borderId="34" xfId="0" applyFont="1" applyFill="1" applyBorder="1" applyAlignment="1" applyProtection="1">
      <alignment horizontal="left" vertical="center" wrapText="1"/>
      <protection hidden="1"/>
    </xf>
    <xf numFmtId="0" fontId="21" fillId="18" borderId="4" xfId="0" applyFont="1" applyFill="1" applyBorder="1" applyAlignment="1" applyProtection="1">
      <alignment horizontal="left" vertical="center" wrapText="1"/>
      <protection hidden="1"/>
    </xf>
    <xf numFmtId="0" fontId="21" fillId="18" borderId="35" xfId="0" applyFont="1" applyFill="1" applyBorder="1" applyAlignment="1" applyProtection="1">
      <alignment horizontal="left" vertical="center" wrapText="1"/>
      <protection hidden="1"/>
    </xf>
    <xf numFmtId="0" fontId="21" fillId="18" borderId="3" xfId="0" applyFont="1" applyFill="1" applyBorder="1" applyAlignment="1" applyProtection="1">
      <alignment horizontal="left" vertical="center" wrapText="1"/>
      <protection hidden="1"/>
    </xf>
    <xf numFmtId="0" fontId="21" fillId="18" borderId="36" xfId="0" applyFont="1" applyFill="1" applyBorder="1" applyAlignment="1" applyProtection="1">
      <alignment horizontal="left" vertical="center" wrapText="1"/>
      <protection hidden="1"/>
    </xf>
    <xf numFmtId="0" fontId="13" fillId="3" borderId="10" xfId="0" applyFont="1" applyFill="1" applyBorder="1" applyAlignment="1" applyProtection="1">
      <alignment horizontal="left" vertical="center" indent="1"/>
      <protection hidden="1"/>
    </xf>
    <xf numFmtId="0" fontId="13" fillId="3" borderId="7" xfId="0" applyFont="1" applyFill="1" applyBorder="1" applyAlignment="1" applyProtection="1">
      <alignment horizontal="left" vertical="center" indent="1"/>
      <protection hidden="1"/>
    </xf>
    <xf numFmtId="0" fontId="13" fillId="3" borderId="7" xfId="0" applyFont="1" applyFill="1" applyBorder="1" applyAlignment="1" applyProtection="1">
      <alignment horizontal="center" vertical="center"/>
      <protection hidden="1"/>
    </xf>
    <xf numFmtId="0" fontId="13" fillId="3" borderId="8" xfId="0" applyFont="1" applyFill="1" applyBorder="1" applyAlignment="1" applyProtection="1">
      <alignment horizontal="center" vertical="center"/>
      <protection hidden="1"/>
    </xf>
    <xf numFmtId="0" fontId="2" fillId="4" borderId="77" xfId="0" applyFont="1" applyFill="1" applyBorder="1" applyAlignment="1" applyProtection="1">
      <alignment horizontal="left" vertical="center" wrapText="1"/>
      <protection hidden="1"/>
    </xf>
    <xf numFmtId="0" fontId="2" fillId="4" borderId="79" xfId="0" applyFont="1" applyFill="1" applyBorder="1" applyAlignment="1" applyProtection="1">
      <alignment horizontal="left" vertical="center" wrapText="1"/>
      <protection hidden="1"/>
    </xf>
    <xf numFmtId="0" fontId="2" fillId="2" borderId="0" xfId="0" applyFont="1" applyFill="1" applyBorder="1" applyAlignment="1" applyProtection="1">
      <alignment horizontal="left" vertical="center" wrapText="1"/>
      <protection hidden="1"/>
    </xf>
    <xf numFmtId="0" fontId="17" fillId="3" borderId="10" xfId="0" applyFont="1" applyFill="1" applyBorder="1" applyAlignment="1" applyProtection="1">
      <alignment horizontal="center" vertical="center"/>
      <protection hidden="1"/>
    </xf>
    <xf numFmtId="0" fontId="17" fillId="3" borderId="7" xfId="0" applyFont="1" applyFill="1" applyBorder="1" applyAlignment="1" applyProtection="1">
      <alignment horizontal="center" vertical="center"/>
      <protection hidden="1"/>
    </xf>
    <xf numFmtId="0" fontId="17" fillId="3" borderId="8" xfId="0" applyFont="1" applyFill="1" applyBorder="1" applyAlignment="1" applyProtection="1">
      <alignment horizontal="center" vertical="center"/>
      <protection hidden="1"/>
    </xf>
    <xf numFmtId="0" fontId="11" fillId="3" borderId="10" xfId="2" applyFont="1" applyFill="1" applyBorder="1" applyAlignment="1" applyProtection="1">
      <alignment horizontal="center" vertical="center"/>
      <protection hidden="1"/>
    </xf>
    <xf numFmtId="0" fontId="11" fillId="3" borderId="7" xfId="2" applyFont="1" applyFill="1" applyBorder="1" applyAlignment="1" applyProtection="1">
      <alignment horizontal="center" vertical="center"/>
      <protection hidden="1"/>
    </xf>
    <xf numFmtId="0" fontId="14" fillId="20" borderId="4" xfId="0" applyFont="1" applyFill="1" applyBorder="1" applyAlignment="1" applyProtection="1">
      <alignment horizontal="left" vertical="center"/>
      <protection locked="0"/>
    </xf>
    <xf numFmtId="0" fontId="14" fillId="4" borderId="4" xfId="0" applyFont="1" applyFill="1" applyBorder="1" applyAlignment="1" applyProtection="1">
      <alignment horizontal="left" vertical="center" wrapText="1"/>
      <protection hidden="1"/>
    </xf>
    <xf numFmtId="0" fontId="14" fillId="20" borderId="4" xfId="0" applyFont="1" applyFill="1" applyBorder="1" applyAlignment="1" applyProtection="1">
      <alignment horizontal="left" vertical="center" wrapText="1"/>
      <protection locked="0"/>
    </xf>
    <xf numFmtId="0" fontId="11" fillId="3" borderId="4" xfId="0" applyFont="1" applyFill="1" applyBorder="1" applyAlignment="1" applyProtection="1">
      <alignment horizontal="center" vertical="center"/>
      <protection hidden="1"/>
    </xf>
    <xf numFmtId="0" fontId="14" fillId="20" borderId="38" xfId="0" applyFont="1" applyFill="1" applyBorder="1" applyAlignment="1" applyProtection="1">
      <alignment horizontal="left" vertical="center" wrapText="1"/>
      <protection locked="0"/>
    </xf>
    <xf numFmtId="0" fontId="14" fillId="20" borderId="0" xfId="0" applyFont="1" applyFill="1" applyBorder="1" applyAlignment="1" applyProtection="1">
      <alignment horizontal="left" vertical="center" wrapText="1"/>
      <protection locked="0"/>
    </xf>
    <xf numFmtId="0" fontId="21" fillId="2" borderId="35" xfId="0" applyFont="1" applyFill="1" applyBorder="1" applyAlignment="1" applyProtection="1">
      <alignment horizontal="left" vertical="center" wrapText="1" indent="5"/>
      <protection hidden="1"/>
    </xf>
    <xf numFmtId="0" fontId="21" fillId="2" borderId="3" xfId="0" applyFont="1" applyFill="1" applyBorder="1" applyAlignment="1" applyProtection="1">
      <alignment horizontal="left" vertical="center" wrapText="1" indent="5"/>
      <protection hidden="1"/>
    </xf>
    <xf numFmtId="0" fontId="13" fillId="3" borderId="7" xfId="0" applyFont="1" applyFill="1" applyBorder="1" applyAlignment="1" applyProtection="1">
      <alignment horizontal="center" vertical="center" wrapText="1"/>
      <protection hidden="1"/>
    </xf>
    <xf numFmtId="0" fontId="13" fillId="3" borderId="8" xfId="0" applyFont="1" applyFill="1" applyBorder="1" applyAlignment="1" applyProtection="1">
      <alignment horizontal="center" vertical="center" wrapText="1"/>
      <protection hidden="1"/>
    </xf>
    <xf numFmtId="0" fontId="21" fillId="2" borderId="0" xfId="2" applyFont="1" applyFill="1" applyBorder="1" applyAlignment="1" applyProtection="1">
      <alignment horizontal="center" vertical="center"/>
      <protection hidden="1"/>
    </xf>
    <xf numFmtId="0" fontId="14" fillId="10" borderId="4"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protection hidden="1"/>
    </xf>
    <xf numFmtId="0" fontId="112" fillId="2" borderId="0" xfId="2" applyFont="1" applyFill="1" applyAlignment="1" applyProtection="1">
      <alignment horizontal="left" vertical="center" wrapText="1" indent="5"/>
      <protection hidden="1"/>
    </xf>
    <xf numFmtId="0" fontId="8" fillId="9" borderId="4" xfId="2" applyFont="1" applyFill="1" applyBorder="1" applyAlignment="1" applyProtection="1">
      <alignment horizontal="center" vertical="center"/>
      <protection hidden="1"/>
    </xf>
    <xf numFmtId="0" fontId="2" fillId="10" borderId="63" xfId="2" applyFill="1" applyBorder="1" applyAlignment="1" applyProtection="1">
      <alignment horizontal="left" indent="6"/>
      <protection hidden="1"/>
    </xf>
    <xf numFmtId="0" fontId="2" fillId="10" borderId="0" xfId="2" applyFill="1" applyBorder="1" applyAlignment="1" applyProtection="1">
      <alignment horizontal="left" indent="6"/>
      <protection hidden="1"/>
    </xf>
    <xf numFmtId="0" fontId="2" fillId="10" borderId="64" xfId="2" applyFill="1" applyBorder="1" applyAlignment="1" applyProtection="1">
      <alignment horizontal="left" indent="6"/>
      <protection hidden="1"/>
    </xf>
    <xf numFmtId="0" fontId="14" fillId="20" borderId="104" xfId="0" applyFont="1" applyFill="1" applyBorder="1" applyAlignment="1" applyProtection="1">
      <alignment horizontal="center" vertical="center" wrapText="1"/>
      <protection locked="0"/>
    </xf>
    <xf numFmtId="0" fontId="14" fillId="20" borderId="105" xfId="0" applyFont="1" applyFill="1" applyBorder="1" applyAlignment="1" applyProtection="1">
      <alignment horizontal="center" vertical="center" wrapText="1"/>
      <protection locked="0"/>
    </xf>
    <xf numFmtId="0" fontId="14" fillId="20" borderId="106" xfId="0" applyFont="1" applyFill="1" applyBorder="1" applyAlignment="1" applyProtection="1">
      <alignment horizontal="center" vertical="center" wrapText="1"/>
      <protection locked="0"/>
    </xf>
    <xf numFmtId="0" fontId="14" fillId="20" borderId="103" xfId="0" applyFont="1" applyFill="1" applyBorder="1" applyAlignment="1" applyProtection="1">
      <alignment horizontal="center" vertical="center" wrapText="1"/>
      <protection locked="0"/>
    </xf>
    <xf numFmtId="0" fontId="2" fillId="10" borderId="25" xfId="2" applyFont="1" applyFill="1" applyBorder="1" applyAlignment="1" applyProtection="1">
      <alignment horizontal="left" indent="6"/>
      <protection hidden="1"/>
    </xf>
    <xf numFmtId="0" fontId="2" fillId="10" borderId="26" xfId="2" applyFont="1" applyFill="1" applyBorder="1" applyAlignment="1" applyProtection="1">
      <alignment horizontal="left" indent="6"/>
      <protection hidden="1"/>
    </xf>
    <xf numFmtId="0" fontId="2" fillId="10" borderId="27" xfId="2" applyFont="1" applyFill="1" applyBorder="1" applyAlignment="1" applyProtection="1">
      <alignment horizontal="left" indent="6"/>
      <protection hidden="1"/>
    </xf>
    <xf numFmtId="0" fontId="2" fillId="10" borderId="60" xfId="2" applyFont="1" applyFill="1" applyBorder="1" applyAlignment="1" applyProtection="1">
      <alignment horizontal="left" indent="5"/>
      <protection hidden="1"/>
    </xf>
    <xf numFmtId="0" fontId="2" fillId="10" borderId="61" xfId="2" applyFont="1" applyFill="1" applyBorder="1" applyAlignment="1" applyProtection="1">
      <alignment horizontal="left" indent="5"/>
      <protection hidden="1"/>
    </xf>
    <xf numFmtId="0" fontId="2" fillId="10" borderId="62" xfId="2" applyFont="1" applyFill="1" applyBorder="1" applyAlignment="1" applyProtection="1">
      <alignment horizontal="left" indent="5"/>
      <protection hidden="1"/>
    </xf>
    <xf numFmtId="0" fontId="11" fillId="3" borderId="10" xfId="0" applyFont="1" applyFill="1" applyBorder="1" applyAlignment="1" applyProtection="1">
      <alignment horizontal="center" vertical="center"/>
      <protection hidden="1"/>
    </xf>
    <xf numFmtId="0" fontId="11" fillId="3" borderId="7" xfId="0" applyFont="1" applyFill="1" applyBorder="1" applyAlignment="1" applyProtection="1">
      <alignment horizontal="center" vertical="center"/>
      <protection hidden="1"/>
    </xf>
    <xf numFmtId="0" fontId="11" fillId="3" borderId="8" xfId="0" applyFont="1" applyFill="1" applyBorder="1" applyAlignment="1" applyProtection="1">
      <alignment horizontal="center" vertical="center"/>
      <protection hidden="1"/>
    </xf>
    <xf numFmtId="0" fontId="2" fillId="4" borderId="77" xfId="0" applyFont="1" applyFill="1" applyBorder="1" applyAlignment="1" applyProtection="1">
      <alignment horizontal="left" vertical="center" wrapText="1" indent="1"/>
      <protection hidden="1"/>
    </xf>
    <xf numFmtId="0" fontId="2" fillId="4" borderId="79" xfId="0" applyFont="1" applyFill="1" applyBorder="1" applyAlignment="1" applyProtection="1">
      <alignment horizontal="left" vertical="center" wrapText="1" indent="1"/>
      <protection hidden="1"/>
    </xf>
    <xf numFmtId="0" fontId="2" fillId="4" borderId="78" xfId="0" applyFont="1" applyFill="1" applyBorder="1" applyAlignment="1" applyProtection="1">
      <alignment horizontal="left" vertical="center" wrapText="1" indent="1"/>
      <protection hidden="1"/>
    </xf>
    <xf numFmtId="0" fontId="22" fillId="2" borderId="38" xfId="0" applyFont="1" applyFill="1" applyBorder="1" applyAlignment="1" applyProtection="1">
      <alignment horizontal="left" vertical="center" wrapText="1" indent="5"/>
      <protection hidden="1"/>
    </xf>
    <xf numFmtId="0" fontId="2" fillId="4" borderId="35" xfId="0" applyFont="1" applyFill="1" applyBorder="1" applyAlignment="1" applyProtection="1">
      <alignment horizontal="left" vertical="center" wrapText="1" indent="1"/>
      <protection hidden="1"/>
    </xf>
    <xf numFmtId="0" fontId="2" fillId="4" borderId="3" xfId="0" applyFont="1" applyFill="1" applyBorder="1" applyAlignment="1" applyProtection="1">
      <alignment horizontal="left" vertical="center" wrapText="1" indent="1"/>
      <protection hidden="1"/>
    </xf>
    <xf numFmtId="0" fontId="17" fillId="3" borderId="65" xfId="0" applyFont="1" applyFill="1" applyBorder="1" applyAlignment="1" applyProtection="1">
      <alignment horizontal="center" vertical="center"/>
      <protection hidden="1"/>
    </xf>
    <xf numFmtId="0" fontId="14" fillId="20" borderId="65" xfId="0" applyFont="1" applyFill="1" applyBorder="1" applyAlignment="1" applyProtection="1">
      <alignment horizontal="center" vertical="center" wrapText="1"/>
      <protection locked="0"/>
    </xf>
    <xf numFmtId="0" fontId="22" fillId="2" borderId="0" xfId="0" applyFont="1" applyFill="1" applyBorder="1" applyAlignment="1" applyProtection="1">
      <alignment horizontal="left" vertical="center" wrapText="1"/>
      <protection hidden="1"/>
    </xf>
    <xf numFmtId="0" fontId="2" fillId="4" borderId="65" xfId="0" applyFont="1" applyFill="1" applyBorder="1" applyAlignment="1" applyProtection="1">
      <alignment horizontal="left" vertical="center" wrapText="1" indent="1"/>
      <protection hidden="1"/>
    </xf>
    <xf numFmtId="0" fontId="2" fillId="4" borderId="65" xfId="0" applyFont="1" applyFill="1" applyBorder="1" applyAlignment="1" applyProtection="1">
      <alignment horizontal="left" vertical="center" wrapText="1"/>
      <protection hidden="1"/>
    </xf>
    <xf numFmtId="0" fontId="2" fillId="4" borderId="80" xfId="0" applyFont="1" applyFill="1" applyBorder="1" applyAlignment="1" applyProtection="1">
      <alignment horizontal="left" vertical="center" wrapText="1"/>
      <protection hidden="1"/>
    </xf>
    <xf numFmtId="0" fontId="20" fillId="3" borderId="28" xfId="2" applyFont="1" applyFill="1" applyBorder="1" applyAlignment="1" applyProtection="1">
      <alignment horizontal="left" vertical="center" wrapText="1"/>
      <protection hidden="1"/>
    </xf>
    <xf numFmtId="0" fontId="20" fillId="3" borderId="29" xfId="2" applyFont="1" applyFill="1" applyBorder="1" applyAlignment="1" applyProtection="1">
      <alignment horizontal="left" vertical="center" wrapText="1"/>
      <protection hidden="1"/>
    </xf>
    <xf numFmtId="0" fontId="2" fillId="11" borderId="28" xfId="2" applyFont="1" applyFill="1" applyBorder="1" applyAlignment="1" applyProtection="1">
      <alignment horizontal="left" vertical="center" wrapText="1"/>
      <protection hidden="1"/>
    </xf>
    <xf numFmtId="0" fontId="2" fillId="11" borderId="29" xfId="2" applyFont="1" applyFill="1" applyBorder="1" applyAlignment="1" applyProtection="1">
      <alignment horizontal="left" vertical="center" wrapText="1"/>
      <protection hidden="1"/>
    </xf>
    <xf numFmtId="0" fontId="2" fillId="11" borderId="30" xfId="2" applyFont="1" applyFill="1" applyBorder="1" applyAlignment="1" applyProtection="1">
      <alignment horizontal="left" vertical="center" wrapText="1"/>
      <protection hidden="1"/>
    </xf>
    <xf numFmtId="0" fontId="2" fillId="4" borderId="81" xfId="0" applyFont="1" applyFill="1" applyBorder="1" applyAlignment="1" applyProtection="1">
      <alignment horizontal="left" vertical="center" wrapText="1"/>
      <protection hidden="1"/>
    </xf>
    <xf numFmtId="0" fontId="51" fillId="5" borderId="33" xfId="2" applyFont="1" applyFill="1" applyBorder="1" applyAlignment="1">
      <alignment horizontal="left" vertical="center" wrapText="1"/>
    </xf>
    <xf numFmtId="0" fontId="51" fillId="5" borderId="0" xfId="2" applyFont="1" applyFill="1" applyBorder="1" applyAlignment="1">
      <alignment horizontal="left" vertical="center" wrapText="1"/>
    </xf>
    <xf numFmtId="0" fontId="52" fillId="5" borderId="32" xfId="0" applyFont="1" applyFill="1" applyBorder="1" applyAlignment="1" applyProtection="1">
      <alignment horizontal="left" vertical="center" indent="1"/>
      <protection hidden="1"/>
    </xf>
    <xf numFmtId="0" fontId="52" fillId="5" borderId="34" xfId="0" applyFont="1" applyFill="1" applyBorder="1" applyAlignment="1" applyProtection="1">
      <alignment horizontal="left" vertical="center" indent="1"/>
      <protection hidden="1"/>
    </xf>
    <xf numFmtId="0" fontId="52" fillId="5" borderId="35" xfId="0" applyFont="1" applyFill="1" applyBorder="1" applyAlignment="1" applyProtection="1">
      <alignment horizontal="left" vertical="center" indent="1"/>
      <protection hidden="1"/>
    </xf>
    <xf numFmtId="0" fontId="52" fillId="5" borderId="36" xfId="0" applyFont="1" applyFill="1" applyBorder="1" applyAlignment="1" applyProtection="1">
      <alignment horizontal="left" vertical="center" indent="1"/>
      <protection hidden="1"/>
    </xf>
    <xf numFmtId="0" fontId="52" fillId="5" borderId="4" xfId="0" applyFont="1" applyFill="1" applyBorder="1" applyAlignment="1" applyProtection="1">
      <alignment horizontal="center" vertical="center" wrapText="1"/>
      <protection hidden="1"/>
    </xf>
    <xf numFmtId="0" fontId="128" fillId="10" borderId="10" xfId="3" applyFont="1" applyFill="1" applyBorder="1" applyAlignment="1">
      <alignment horizontal="left" vertical="center" indent="1"/>
    </xf>
    <xf numFmtId="0" fontId="128" fillId="10" borderId="8" xfId="3" applyFont="1" applyFill="1" applyBorder="1" applyAlignment="1">
      <alignment horizontal="left" vertical="center" indent="1"/>
    </xf>
    <xf numFmtId="0" fontId="5" fillId="5" borderId="0" xfId="2" applyFont="1" applyFill="1" applyBorder="1" applyAlignment="1">
      <alignment horizontal="left" vertical="center" wrapText="1"/>
    </xf>
    <xf numFmtId="0" fontId="2" fillId="20" borderId="38" xfId="0" applyFont="1" applyFill="1" applyBorder="1" applyAlignment="1" applyProtection="1">
      <alignment horizontal="left" vertical="top" wrapText="1"/>
      <protection locked="0"/>
    </xf>
    <xf numFmtId="0" fontId="2" fillId="20" borderId="0" xfId="0" applyFont="1" applyFill="1" applyBorder="1" applyAlignment="1" applyProtection="1">
      <alignment horizontal="left" vertical="top" wrapText="1"/>
      <protection locked="0"/>
    </xf>
    <xf numFmtId="0" fontId="13" fillId="5" borderId="10" xfId="0" applyFont="1" applyFill="1" applyBorder="1" applyAlignment="1" applyProtection="1">
      <alignment horizontal="left" vertical="center" indent="1"/>
      <protection hidden="1"/>
    </xf>
    <xf numFmtId="0" fontId="13" fillId="5" borderId="7" xfId="0" applyFont="1" applyFill="1" applyBorder="1" applyAlignment="1" applyProtection="1">
      <alignment horizontal="left" vertical="center" indent="1"/>
      <protection hidden="1"/>
    </xf>
    <xf numFmtId="0" fontId="10" fillId="5" borderId="0" xfId="0" applyFont="1" applyFill="1" applyBorder="1" applyAlignment="1" applyProtection="1">
      <alignment horizontal="left" vertical="center" indent="1"/>
      <protection hidden="1"/>
    </xf>
    <xf numFmtId="0" fontId="2" fillId="2" borderId="0" xfId="2" applyFont="1" applyFill="1" applyBorder="1" applyAlignment="1" applyProtection="1">
      <alignment horizontal="left" vertical="center" wrapText="1" indent="4"/>
      <protection hidden="1"/>
    </xf>
    <xf numFmtId="0" fontId="13" fillId="5" borderId="7" xfId="0" applyFont="1" applyFill="1" applyBorder="1" applyAlignment="1" applyProtection="1">
      <alignment horizontal="center" vertical="center"/>
      <protection hidden="1"/>
    </xf>
    <xf numFmtId="0" fontId="13" fillId="5" borderId="8" xfId="0" applyFont="1" applyFill="1" applyBorder="1" applyAlignment="1" applyProtection="1">
      <alignment horizontal="center" vertical="center"/>
      <protection hidden="1"/>
    </xf>
    <xf numFmtId="0" fontId="11" fillId="5" borderId="10" xfId="0" applyFont="1" applyFill="1" applyBorder="1" applyAlignment="1" applyProtection="1">
      <alignment horizontal="center" vertical="center" wrapText="1"/>
      <protection hidden="1"/>
    </xf>
    <xf numFmtId="0" fontId="11" fillId="5" borderId="7" xfId="0" applyFont="1" applyFill="1" applyBorder="1" applyAlignment="1" applyProtection="1">
      <alignment horizontal="center" vertical="center" wrapText="1"/>
      <protection hidden="1"/>
    </xf>
    <xf numFmtId="0" fontId="20" fillId="5" borderId="28" xfId="2" applyFont="1" applyFill="1" applyBorder="1" applyAlignment="1" applyProtection="1">
      <alignment horizontal="left" vertical="center" wrapText="1" indent="1"/>
      <protection hidden="1"/>
    </xf>
    <xf numFmtId="0" fontId="20" fillId="5" borderId="29" xfId="2" applyFont="1" applyFill="1" applyBorder="1" applyAlignment="1" applyProtection="1">
      <alignment horizontal="left" vertical="center" wrapText="1" indent="1"/>
      <protection hidden="1"/>
    </xf>
    <xf numFmtId="0" fontId="9" fillId="5" borderId="0" xfId="0" applyFont="1" applyFill="1" applyBorder="1" applyAlignment="1" applyProtection="1">
      <alignment horizontal="left" vertical="center" indent="1"/>
      <protection hidden="1"/>
    </xf>
    <xf numFmtId="0" fontId="17" fillId="5" borderId="65" xfId="0" applyFont="1" applyFill="1" applyBorder="1" applyAlignment="1" applyProtection="1">
      <alignment horizontal="center" vertical="center"/>
      <protection hidden="1"/>
    </xf>
    <xf numFmtId="0" fontId="40" fillId="5" borderId="0" xfId="0" applyFont="1" applyFill="1" applyBorder="1" applyAlignment="1" applyProtection="1">
      <alignment horizontal="left" vertical="center" indent="1"/>
      <protection hidden="1"/>
    </xf>
    <xf numFmtId="0" fontId="11" fillId="5" borderId="79" xfId="0" applyFont="1" applyFill="1" applyBorder="1" applyAlignment="1" applyProtection="1">
      <alignment horizontal="center" vertical="center" wrapText="1"/>
      <protection hidden="1"/>
    </xf>
    <xf numFmtId="0" fontId="11" fillId="5" borderId="78" xfId="0" applyFont="1" applyFill="1" applyBorder="1" applyAlignment="1" applyProtection="1">
      <alignment horizontal="center" vertical="center" wrapText="1"/>
      <protection hidden="1"/>
    </xf>
    <xf numFmtId="0" fontId="14" fillId="20" borderId="87" xfId="0" applyFont="1" applyFill="1" applyBorder="1" applyAlignment="1" applyProtection="1">
      <alignment horizontal="center" vertical="center" wrapText="1"/>
      <protection locked="0"/>
    </xf>
    <xf numFmtId="0" fontId="14" fillId="20" borderId="102" xfId="0" applyFont="1" applyFill="1" applyBorder="1" applyAlignment="1" applyProtection="1">
      <alignment horizontal="center" vertical="center" wrapText="1"/>
      <protection locked="0"/>
    </xf>
    <xf numFmtId="0" fontId="2" fillId="20" borderId="0" xfId="2" applyFill="1" applyBorder="1" applyAlignment="1" applyProtection="1">
      <alignment horizontal="left" vertical="center" wrapText="1"/>
      <protection locked="0"/>
    </xf>
    <xf numFmtId="0" fontId="14" fillId="20" borderId="77" xfId="0" applyFont="1" applyFill="1" applyBorder="1" applyAlignment="1" applyProtection="1">
      <alignment horizontal="center" vertical="center" wrapText="1"/>
      <protection locked="0"/>
    </xf>
    <xf numFmtId="0" fontId="14" fillId="20" borderId="78" xfId="0" applyFont="1" applyFill="1" applyBorder="1" applyAlignment="1" applyProtection="1">
      <alignment horizontal="center" vertical="center" wrapText="1"/>
      <protection locked="0"/>
    </xf>
    <xf numFmtId="0" fontId="11" fillId="5" borderId="0" xfId="2" applyFont="1" applyFill="1" applyBorder="1" applyAlignment="1" applyProtection="1">
      <alignment horizontal="left" vertical="center"/>
      <protection hidden="1"/>
    </xf>
    <xf numFmtId="0" fontId="2" fillId="20" borderId="4" xfId="2" applyFont="1" applyFill="1" applyBorder="1" applyAlignment="1" applyProtection="1">
      <alignment horizontal="left" vertical="center" indent="1"/>
      <protection locked="0"/>
    </xf>
    <xf numFmtId="0" fontId="11" fillId="5" borderId="4" xfId="2" applyFont="1" applyFill="1" applyBorder="1" applyAlignment="1" applyProtection="1">
      <alignment horizontal="left" vertical="center" indent="1"/>
      <protection hidden="1"/>
    </xf>
    <xf numFmtId="0" fontId="11" fillId="5" borderId="10" xfId="2" applyFont="1" applyFill="1" applyBorder="1" applyAlignment="1" applyProtection="1">
      <alignment horizontal="left" vertical="center" indent="1"/>
      <protection hidden="1"/>
    </xf>
    <xf numFmtId="0" fontId="11" fillId="5" borderId="8" xfId="2" applyFont="1" applyFill="1" applyBorder="1" applyAlignment="1" applyProtection="1">
      <alignment horizontal="left" vertical="center" indent="1"/>
      <protection hidden="1"/>
    </xf>
    <xf numFmtId="0" fontId="2" fillId="4" borderId="87" xfId="0" applyFont="1" applyFill="1" applyBorder="1" applyAlignment="1" applyProtection="1">
      <alignment horizontal="left" vertical="center" wrapText="1" indent="1"/>
      <protection hidden="1"/>
    </xf>
    <xf numFmtId="0" fontId="2" fillId="4" borderId="76" xfId="0" applyFont="1" applyFill="1" applyBorder="1" applyAlignment="1" applyProtection="1">
      <alignment horizontal="left" vertical="center" wrapText="1" indent="1"/>
      <protection hidden="1"/>
    </xf>
    <xf numFmtId="0" fontId="2" fillId="4" borderId="100" xfId="0" applyFont="1" applyFill="1" applyBorder="1" applyAlignment="1" applyProtection="1">
      <alignment horizontal="left" vertical="center" wrapText="1" indent="1"/>
      <protection hidden="1"/>
    </xf>
    <xf numFmtId="0" fontId="11" fillId="5" borderId="10" xfId="0" applyFont="1" applyFill="1" applyBorder="1" applyAlignment="1" applyProtection="1">
      <alignment horizontal="left" vertical="center" wrapText="1" indent="1"/>
      <protection hidden="1"/>
    </xf>
    <xf numFmtId="0" fontId="11" fillId="5" borderId="7" xfId="0" applyFont="1" applyFill="1" applyBorder="1" applyAlignment="1" applyProtection="1">
      <alignment horizontal="left" vertical="center" wrapText="1" indent="1"/>
      <protection hidden="1"/>
    </xf>
    <xf numFmtId="0" fontId="22" fillId="2" borderId="0" xfId="2" applyFont="1" applyFill="1" applyBorder="1" applyAlignment="1" applyProtection="1">
      <alignment horizontal="left" indent="5"/>
      <protection hidden="1"/>
    </xf>
    <xf numFmtId="0" fontId="2" fillId="20" borderId="65" xfId="2" applyFill="1" applyBorder="1" applyAlignment="1" applyProtection="1">
      <alignment horizontal="left" vertical="center" wrapText="1"/>
      <protection locked="0"/>
    </xf>
    <xf numFmtId="0" fontId="11" fillId="5" borderId="65" xfId="2" applyFont="1" applyFill="1" applyBorder="1" applyAlignment="1" applyProtection="1">
      <alignment vertical="center" wrapText="1"/>
      <protection hidden="1"/>
    </xf>
    <xf numFmtId="0" fontId="2" fillId="10" borderId="60" xfId="2" applyFont="1" applyFill="1" applyBorder="1" applyAlignment="1" applyProtection="1">
      <alignment horizontal="left" vertical="center" indent="6"/>
      <protection hidden="1"/>
    </xf>
    <xf numFmtId="0" fontId="2" fillId="10" borderId="61" xfId="2" applyFont="1" applyFill="1" applyBorder="1" applyAlignment="1" applyProtection="1">
      <alignment horizontal="left" vertical="center" indent="6"/>
      <protection hidden="1"/>
    </xf>
    <xf numFmtId="0" fontId="2" fillId="10" borderId="62" xfId="2" applyFont="1" applyFill="1" applyBorder="1" applyAlignment="1" applyProtection="1">
      <alignment horizontal="left" vertical="center" indent="6"/>
      <protection hidden="1"/>
    </xf>
    <xf numFmtId="0" fontId="2" fillId="10" borderId="25" xfId="2" applyFont="1" applyFill="1" applyBorder="1" applyAlignment="1" applyProtection="1">
      <alignment horizontal="left" vertical="center" indent="6"/>
      <protection hidden="1"/>
    </xf>
    <xf numFmtId="0" fontId="2" fillId="10" borderId="26" xfId="2" applyFont="1" applyFill="1" applyBorder="1" applyAlignment="1" applyProtection="1">
      <alignment horizontal="left" vertical="center" indent="6"/>
      <protection hidden="1"/>
    </xf>
    <xf numFmtId="0" fontId="2" fillId="10" borderId="27" xfId="2" applyFont="1" applyFill="1" applyBorder="1" applyAlignment="1" applyProtection="1">
      <alignment horizontal="left" vertical="center" indent="6"/>
      <protection hidden="1"/>
    </xf>
    <xf numFmtId="0" fontId="11" fillId="5" borderId="65" xfId="2" applyFont="1" applyFill="1" applyBorder="1" applyAlignment="1" applyProtection="1">
      <alignment vertical="center"/>
      <protection hidden="1"/>
    </xf>
    <xf numFmtId="0" fontId="2" fillId="20" borderId="65" xfId="2" applyFill="1" applyBorder="1" applyAlignment="1" applyProtection="1">
      <alignment horizontal="left"/>
      <protection hidden="1"/>
    </xf>
    <xf numFmtId="0" fontId="17" fillId="5" borderId="65" xfId="0" applyFont="1" applyFill="1" applyBorder="1" applyAlignment="1" applyProtection="1">
      <alignment horizontal="center" vertical="center" wrapText="1"/>
      <protection hidden="1"/>
    </xf>
    <xf numFmtId="0" fontId="8" fillId="0" borderId="29" xfId="2" applyFont="1" applyFill="1" applyBorder="1" applyAlignment="1" applyProtection="1">
      <alignment horizontal="left" vertical="center" wrapText="1" indent="1"/>
      <protection hidden="1"/>
    </xf>
    <xf numFmtId="0" fontId="8" fillId="0" borderId="30" xfId="2" applyFont="1" applyFill="1" applyBorder="1" applyAlignment="1" applyProtection="1">
      <alignment horizontal="left" vertical="center" wrapText="1" indent="1"/>
      <protection hidden="1"/>
    </xf>
    <xf numFmtId="0" fontId="2" fillId="4" borderId="65" xfId="2" applyFill="1" applyBorder="1" applyAlignment="1" applyProtection="1">
      <protection hidden="1"/>
    </xf>
    <xf numFmtId="0" fontId="14" fillId="2" borderId="35" xfId="0" applyFont="1" applyFill="1" applyBorder="1" applyAlignment="1" applyProtection="1">
      <alignment horizontal="left" vertical="center" wrapText="1"/>
      <protection hidden="1"/>
    </xf>
    <xf numFmtId="0" fontId="14" fillId="2" borderId="3" xfId="0" applyFont="1" applyFill="1" applyBorder="1" applyAlignment="1" applyProtection="1">
      <alignment horizontal="left" vertical="center" wrapText="1"/>
      <protection hidden="1"/>
    </xf>
    <xf numFmtId="0" fontId="11" fillId="5" borderId="8" xfId="0" applyFont="1" applyFill="1" applyBorder="1" applyAlignment="1" applyProtection="1">
      <alignment horizontal="left" vertical="center" wrapText="1" indent="1"/>
      <protection hidden="1"/>
    </xf>
    <xf numFmtId="0" fontId="14" fillId="20" borderId="10" xfId="0" applyFont="1" applyFill="1" applyBorder="1" applyAlignment="1" applyProtection="1">
      <alignment horizontal="left" vertical="top" wrapText="1"/>
      <protection locked="0"/>
    </xf>
    <xf numFmtId="0" fontId="14" fillId="20" borderId="7" xfId="0" applyFont="1" applyFill="1" applyBorder="1" applyAlignment="1" applyProtection="1">
      <alignment horizontal="left" vertical="top" wrapText="1"/>
      <protection locked="0"/>
    </xf>
    <xf numFmtId="0" fontId="14" fillId="20" borderId="8" xfId="0" applyFont="1" applyFill="1" applyBorder="1" applyAlignment="1" applyProtection="1">
      <alignment horizontal="left" vertical="top" wrapText="1"/>
      <protection locked="0"/>
    </xf>
    <xf numFmtId="0" fontId="14" fillId="20" borderId="32" xfId="0" applyFont="1" applyFill="1" applyBorder="1" applyAlignment="1" applyProtection="1">
      <alignment horizontal="left" vertical="center" wrapText="1"/>
      <protection locked="0"/>
    </xf>
    <xf numFmtId="0" fontId="14" fillId="20" borderId="34" xfId="0" applyFont="1" applyFill="1" applyBorder="1" applyAlignment="1" applyProtection="1">
      <alignment horizontal="left" vertical="center" wrapText="1"/>
      <protection locked="0"/>
    </xf>
    <xf numFmtId="0" fontId="52" fillId="7" borderId="4" xfId="0" applyFont="1" applyFill="1" applyBorder="1" applyAlignment="1" applyProtection="1">
      <alignment horizontal="center" vertical="center" wrapText="1"/>
      <protection hidden="1"/>
    </xf>
    <xf numFmtId="0" fontId="170" fillId="10" borderId="10" xfId="3" applyFont="1" applyFill="1" applyBorder="1" applyAlignment="1">
      <alignment horizontal="left" vertical="center" indent="1"/>
    </xf>
    <xf numFmtId="0" fontId="170" fillId="10" borderId="8" xfId="3" applyFont="1" applyFill="1" applyBorder="1" applyAlignment="1">
      <alignment horizontal="left" vertical="center" indent="1"/>
    </xf>
    <xf numFmtId="0" fontId="5" fillId="7" borderId="35" xfId="2" applyFont="1" applyFill="1" applyBorder="1" applyAlignment="1">
      <alignment horizontal="center" vertical="center" wrapText="1"/>
    </xf>
    <xf numFmtId="0" fontId="5" fillId="7" borderId="3" xfId="2" applyFont="1" applyFill="1" applyBorder="1" applyAlignment="1">
      <alignment horizontal="center" vertical="center" wrapText="1"/>
    </xf>
    <xf numFmtId="0" fontId="62" fillId="10" borderId="37" xfId="0" applyFont="1" applyFill="1" applyBorder="1" applyAlignment="1" applyProtection="1">
      <alignment horizontal="center" vertical="center"/>
      <protection hidden="1"/>
    </xf>
    <xf numFmtId="0" fontId="62" fillId="10" borderId="31" xfId="0" applyFont="1" applyFill="1" applyBorder="1" applyAlignment="1" applyProtection="1">
      <alignment horizontal="center" vertical="center"/>
      <protection hidden="1"/>
    </xf>
    <xf numFmtId="0" fontId="51" fillId="7" borderId="33" xfId="2" applyFont="1" applyFill="1" applyBorder="1" applyAlignment="1">
      <alignment horizontal="left" vertical="center"/>
    </xf>
    <xf numFmtId="0" fontId="51" fillId="7" borderId="0" xfId="2" applyFont="1" applyFill="1" applyBorder="1" applyAlignment="1">
      <alignment horizontal="left" vertical="center"/>
    </xf>
    <xf numFmtId="0" fontId="5" fillId="7" borderId="0" xfId="2" applyFont="1" applyFill="1" applyBorder="1" applyAlignment="1">
      <alignment horizontal="left" vertical="top" wrapText="1"/>
    </xf>
    <xf numFmtId="0" fontId="52" fillId="7" borderId="4" xfId="0" applyFont="1" applyFill="1" applyBorder="1" applyAlignment="1" applyProtection="1">
      <alignment horizontal="left" vertical="center" indent="1"/>
      <protection hidden="1"/>
    </xf>
    <xf numFmtId="0" fontId="11" fillId="7" borderId="5" xfId="0" applyFont="1" applyFill="1" applyBorder="1" applyAlignment="1" applyProtection="1">
      <alignment horizontal="center" vertical="center" wrapText="1"/>
      <protection hidden="1"/>
    </xf>
    <xf numFmtId="0" fontId="171" fillId="2" borderId="0" xfId="3" applyFont="1" applyFill="1" applyAlignment="1" applyProtection="1">
      <alignment horizontal="center" vertical="center" wrapText="1"/>
      <protection hidden="1"/>
    </xf>
    <xf numFmtId="0" fontId="171" fillId="2" borderId="26" xfId="3" applyFont="1" applyFill="1" applyBorder="1" applyAlignment="1" applyProtection="1">
      <alignment horizontal="center" vertical="center" wrapText="1"/>
      <protection hidden="1"/>
    </xf>
    <xf numFmtId="0" fontId="20" fillId="7" borderId="28" xfId="2" applyFont="1" applyFill="1" applyBorder="1" applyAlignment="1" applyProtection="1">
      <alignment horizontal="left" vertical="center" wrapText="1" indent="1"/>
      <protection hidden="1"/>
    </xf>
    <xf numFmtId="0" fontId="20" fillId="7" borderId="29" xfId="2" applyFont="1" applyFill="1" applyBorder="1" applyAlignment="1" applyProtection="1">
      <alignment horizontal="left" vertical="center" wrapText="1" indent="1"/>
      <protection hidden="1"/>
    </xf>
    <xf numFmtId="0" fontId="2" fillId="20" borderId="5" xfId="0" applyFont="1" applyFill="1" applyBorder="1" applyAlignment="1" applyProtection="1">
      <alignment horizontal="center" vertical="center" wrapText="1"/>
      <protection locked="0"/>
    </xf>
    <xf numFmtId="0" fontId="11" fillId="7" borderId="5" xfId="0" applyFont="1" applyFill="1" applyBorder="1" applyAlignment="1" applyProtection="1">
      <alignment horizontal="left" vertical="center" wrapText="1" indent="1"/>
      <protection hidden="1"/>
    </xf>
    <xf numFmtId="0" fontId="2" fillId="20" borderId="5" xfId="0" applyFont="1" applyFill="1" applyBorder="1" applyAlignment="1" applyProtection="1">
      <alignment horizontal="left" vertical="center" wrapText="1"/>
      <protection locked="0"/>
    </xf>
    <xf numFmtId="0" fontId="13" fillId="7" borderId="10" xfId="0" applyFont="1" applyFill="1" applyBorder="1" applyAlignment="1" applyProtection="1">
      <alignment horizontal="left" vertical="center" indent="1"/>
      <protection hidden="1"/>
    </xf>
    <xf numFmtId="0" fontId="13" fillId="7" borderId="7" xfId="0" applyFont="1" applyFill="1" applyBorder="1" applyAlignment="1" applyProtection="1">
      <alignment horizontal="left" vertical="center" indent="1"/>
      <protection hidden="1"/>
    </xf>
    <xf numFmtId="0" fontId="13" fillId="7" borderId="33" xfId="0" applyFont="1" applyFill="1" applyBorder="1" applyAlignment="1" applyProtection="1">
      <alignment horizontal="center" vertical="center"/>
      <protection hidden="1"/>
    </xf>
    <xf numFmtId="0" fontId="13" fillId="7" borderId="34" xfId="0" applyFont="1" applyFill="1" applyBorder="1" applyAlignment="1" applyProtection="1">
      <alignment horizontal="center" vertical="center"/>
      <protection hidden="1"/>
    </xf>
    <xf numFmtId="0" fontId="2" fillId="11" borderId="0" xfId="2" applyFont="1" applyFill="1" applyAlignment="1">
      <alignment horizontal="left" vertical="center" wrapText="1" indent="5"/>
    </xf>
    <xf numFmtId="0" fontId="2" fillId="11" borderId="0" xfId="2" applyFont="1" applyFill="1" applyBorder="1" applyAlignment="1">
      <alignment horizontal="left" vertical="center" wrapText="1"/>
    </xf>
    <xf numFmtId="0" fontId="176" fillId="10" borderId="0" xfId="3" applyFont="1" applyFill="1" applyAlignment="1" applyProtection="1">
      <alignment horizontal="center" vertical="center"/>
      <protection hidden="1"/>
    </xf>
    <xf numFmtId="0" fontId="16" fillId="6" borderId="0" xfId="0" applyFont="1" applyFill="1" applyBorder="1" applyAlignment="1" applyProtection="1">
      <alignment horizontal="left" vertical="center" indent="1"/>
      <protection hidden="1"/>
    </xf>
    <xf numFmtId="0" fontId="2" fillId="11" borderId="0" xfId="2" applyFont="1" applyFill="1" applyBorder="1" applyAlignment="1">
      <alignment horizontal="left" vertical="center"/>
    </xf>
    <xf numFmtId="0" fontId="120" fillId="0" borderId="0" xfId="0" applyFont="1" applyAlignment="1">
      <alignment horizontal="left" vertical="center" wrapText="1"/>
    </xf>
    <xf numFmtId="0" fontId="2" fillId="11" borderId="0" xfId="2" applyFont="1" applyFill="1" applyBorder="1" applyAlignment="1">
      <alignment horizontal="left" wrapText="1"/>
    </xf>
    <xf numFmtId="0" fontId="87" fillId="15" borderId="4" xfId="0" applyFont="1" applyFill="1" applyBorder="1" applyAlignment="1">
      <alignment horizontal="left" vertical="center" wrapText="1" indent="1"/>
    </xf>
    <xf numFmtId="0" fontId="87" fillId="4" borderId="4" xfId="0" applyFont="1" applyFill="1" applyBorder="1" applyAlignment="1">
      <alignment horizontal="left" vertical="center" wrapText="1" indent="1"/>
    </xf>
    <xf numFmtId="0" fontId="16" fillId="3" borderId="0" xfId="0" applyFont="1" applyFill="1" applyBorder="1" applyAlignment="1" applyProtection="1">
      <alignment horizontal="left" vertical="center" indent="1"/>
      <protection hidden="1"/>
    </xf>
    <xf numFmtId="0" fontId="16" fillId="16" borderId="0" xfId="0" applyFont="1" applyFill="1" applyBorder="1" applyAlignment="1" applyProtection="1">
      <alignment horizontal="left" vertical="center" indent="1"/>
      <protection hidden="1"/>
    </xf>
    <xf numFmtId="0" fontId="50" fillId="16" borderId="4" xfId="0" applyFont="1" applyFill="1" applyBorder="1" applyAlignment="1">
      <alignment horizontal="center" vertical="center" wrapText="1"/>
    </xf>
    <xf numFmtId="0" fontId="87" fillId="15" borderId="4" xfId="0" applyFont="1" applyFill="1" applyBorder="1" applyAlignment="1">
      <alignment horizontal="center" vertical="center" wrapText="1"/>
    </xf>
    <xf numFmtId="0" fontId="66" fillId="2" borderId="0" xfId="0" applyFont="1" applyFill="1" applyAlignment="1">
      <alignment horizontal="left" vertical="center" wrapText="1" indent="1"/>
    </xf>
    <xf numFmtId="0" fontId="16" fillId="8" borderId="0" xfId="0" applyFont="1" applyFill="1" applyBorder="1" applyAlignment="1" applyProtection="1">
      <alignment horizontal="left" vertical="center" indent="1"/>
      <protection hidden="1"/>
    </xf>
    <xf numFmtId="0" fontId="21" fillId="2" borderId="33" xfId="2" applyFont="1" applyFill="1" applyBorder="1" applyAlignment="1" applyProtection="1">
      <alignment horizontal="center" vertical="top"/>
      <protection hidden="1"/>
    </xf>
    <xf numFmtId="0" fontId="50" fillId="6" borderId="0" xfId="0" applyFont="1" applyFill="1" applyBorder="1" applyAlignment="1">
      <alignment horizontal="center" vertical="center" wrapText="1"/>
    </xf>
    <xf numFmtId="0" fontId="50" fillId="6" borderId="76" xfId="0" applyFont="1" applyFill="1" applyBorder="1" applyAlignment="1">
      <alignment horizontal="center" vertical="center" wrapText="1"/>
    </xf>
    <xf numFmtId="0" fontId="76" fillId="2" borderId="0" xfId="0" applyFont="1" applyFill="1" applyAlignment="1">
      <alignment horizontal="center"/>
    </xf>
    <xf numFmtId="0" fontId="87" fillId="15" borderId="77" xfId="0" applyFont="1" applyFill="1" applyBorder="1" applyAlignment="1">
      <alignment horizontal="center" vertical="center" wrapText="1"/>
    </xf>
    <xf numFmtId="0" fontId="87" fillId="15" borderId="78" xfId="0" applyFont="1" applyFill="1" applyBorder="1" applyAlignment="1">
      <alignment horizontal="center" vertical="center" wrapText="1"/>
    </xf>
    <xf numFmtId="0" fontId="50" fillId="6" borderId="65" xfId="0" applyFont="1" applyFill="1" applyBorder="1" applyAlignment="1">
      <alignment horizontal="center" vertical="center" wrapText="1"/>
    </xf>
    <xf numFmtId="0" fontId="87" fillId="15" borderId="65" xfId="0" applyFont="1" applyFill="1" applyBorder="1" applyAlignment="1">
      <alignment horizontal="center" vertical="center" wrapText="1"/>
    </xf>
    <xf numFmtId="0" fontId="2" fillId="2" borderId="76" xfId="2" applyFont="1" applyFill="1" applyBorder="1" applyAlignment="1">
      <alignment horizontal="left" wrapText="1"/>
    </xf>
    <xf numFmtId="0" fontId="22" fillId="2" borderId="0" xfId="2" applyFont="1" applyFill="1" applyBorder="1" applyAlignment="1">
      <alignment horizontal="left" vertical="center" wrapText="1" indent="3"/>
    </xf>
    <xf numFmtId="0" fontId="2" fillId="2" borderId="0" xfId="2" applyFont="1" applyFill="1" applyBorder="1" applyAlignment="1">
      <alignment horizontal="left" vertical="center" wrapText="1" indent="3"/>
    </xf>
    <xf numFmtId="0" fontId="50" fillId="3" borderId="4" xfId="0" applyFont="1" applyFill="1" applyBorder="1" applyAlignment="1">
      <alignment horizontal="left" vertical="center" wrapText="1" indent="1"/>
    </xf>
    <xf numFmtId="0" fontId="50" fillId="3" borderId="10" xfId="0" applyFont="1" applyFill="1" applyBorder="1" applyAlignment="1">
      <alignment horizontal="left" vertical="center" wrapText="1" indent="1"/>
    </xf>
    <xf numFmtId="0" fontId="2" fillId="20" borderId="10" xfId="2" applyFont="1" applyFill="1" applyBorder="1" applyAlignment="1" applyProtection="1">
      <alignment horizontal="center" vertical="center"/>
      <protection locked="0"/>
    </xf>
    <xf numFmtId="0" fontId="2" fillId="20" borderId="8" xfId="2" applyFont="1" applyFill="1" applyBorder="1" applyAlignment="1" applyProtection="1">
      <alignment horizontal="center" vertical="center"/>
      <protection locked="0"/>
    </xf>
    <xf numFmtId="2" fontId="2" fillId="10" borderId="10" xfId="2" applyNumberFormat="1" applyFont="1" applyFill="1" applyBorder="1" applyAlignment="1" applyProtection="1">
      <alignment horizontal="center" vertical="center"/>
      <protection hidden="1"/>
    </xf>
    <xf numFmtId="2" fontId="2" fillId="10" borderId="8" xfId="2" applyNumberFormat="1" applyFont="1" applyFill="1" applyBorder="1" applyAlignment="1" applyProtection="1">
      <alignment horizontal="center" vertical="center"/>
      <protection hidden="1"/>
    </xf>
    <xf numFmtId="0" fontId="11" fillId="21" borderId="7" xfId="2" applyFont="1" applyFill="1" applyBorder="1" applyAlignment="1" applyProtection="1">
      <alignment horizontal="center" vertical="center"/>
      <protection hidden="1"/>
    </xf>
    <xf numFmtId="0" fontId="50" fillId="21" borderId="7" xfId="0" applyFont="1" applyFill="1" applyBorder="1" applyAlignment="1">
      <alignment horizontal="center" vertical="center" wrapText="1"/>
    </xf>
    <xf numFmtId="0" fontId="50" fillId="21" borderId="8" xfId="0" applyFont="1" applyFill="1" applyBorder="1" applyAlignment="1">
      <alignment horizontal="center" vertical="center" wrapText="1"/>
    </xf>
    <xf numFmtId="0" fontId="2" fillId="2" borderId="0" xfId="2" applyFont="1" applyFill="1" applyBorder="1" applyAlignment="1" applyProtection="1">
      <alignment horizontal="center" vertical="center" wrapText="1"/>
      <protection hidden="1"/>
    </xf>
    <xf numFmtId="0" fontId="66" fillId="2" borderId="63" xfId="0" applyFont="1" applyFill="1" applyBorder="1" applyAlignment="1">
      <alignment horizontal="left" vertical="center" wrapText="1" indent="1"/>
    </xf>
    <xf numFmtId="0" fontId="2" fillId="2" borderId="0" xfId="2" applyFont="1" applyFill="1" applyBorder="1" applyAlignment="1">
      <alignment horizontal="left" vertical="center" wrapText="1" indent="7"/>
    </xf>
    <xf numFmtId="2" fontId="2" fillId="10" borderId="35" xfId="2" applyNumberFormat="1" applyFont="1" applyFill="1" applyBorder="1" applyAlignment="1" applyProtection="1">
      <alignment horizontal="center" vertical="center"/>
      <protection hidden="1"/>
    </xf>
    <xf numFmtId="2" fontId="2" fillId="10" borderId="36" xfId="2" applyNumberFormat="1" applyFont="1" applyFill="1" applyBorder="1" applyAlignment="1" applyProtection="1">
      <alignment horizontal="center" vertical="center"/>
      <protection hidden="1"/>
    </xf>
    <xf numFmtId="0" fontId="53" fillId="24" borderId="41" xfId="4" applyFont="1" applyFill="1" applyBorder="1" applyAlignment="1">
      <alignment horizontal="left" vertical="distributed" wrapText="1" indent="2"/>
    </xf>
    <xf numFmtId="0" fontId="53" fillId="24" borderId="42" xfId="4" applyFont="1" applyFill="1" applyBorder="1" applyAlignment="1">
      <alignment horizontal="left" vertical="distributed" wrapText="1" indent="2"/>
    </xf>
    <xf numFmtId="0" fontId="83" fillId="31" borderId="11" xfId="0" applyFont="1" applyFill="1" applyBorder="1" applyAlignment="1" applyProtection="1">
      <alignment horizontal="left" vertical="center"/>
      <protection locked="0"/>
    </xf>
    <xf numFmtId="0" fontId="83" fillId="31" borderId="12" xfId="0" applyFont="1" applyFill="1" applyBorder="1" applyAlignment="1" applyProtection="1">
      <alignment horizontal="left" vertical="center"/>
      <protection locked="0"/>
    </xf>
    <xf numFmtId="0" fontId="83" fillId="31" borderId="13" xfId="0" applyFont="1" applyFill="1" applyBorder="1" applyAlignment="1" applyProtection="1">
      <alignment horizontal="left" vertical="center"/>
      <protection locked="0"/>
    </xf>
    <xf numFmtId="0" fontId="83" fillId="20" borderId="86" xfId="0" applyFont="1" applyFill="1" applyBorder="1" applyAlignment="1" applyProtection="1">
      <alignment horizontal="left" vertical="center"/>
      <protection locked="0"/>
    </xf>
    <xf numFmtId="0" fontId="83" fillId="20" borderId="14" xfId="0" applyFont="1" applyFill="1" applyBorder="1" applyAlignment="1" applyProtection="1">
      <alignment horizontal="left" vertical="center"/>
      <protection locked="0"/>
    </xf>
    <xf numFmtId="0" fontId="83" fillId="20" borderId="85" xfId="0" applyFont="1" applyFill="1" applyBorder="1" applyAlignment="1" applyProtection="1">
      <alignment horizontal="left" vertical="center"/>
      <protection locked="0"/>
    </xf>
    <xf numFmtId="0" fontId="28" fillId="25" borderId="12" xfId="3" applyFill="1" applyBorder="1" applyAlignment="1">
      <alignment horizontal="left" vertical="center"/>
    </xf>
    <xf numFmtId="0" fontId="83" fillId="20" borderId="14" xfId="0" applyFont="1" applyFill="1" applyBorder="1" applyAlignment="1" applyProtection="1">
      <alignment vertical="center" wrapText="1"/>
      <protection locked="0"/>
    </xf>
    <xf numFmtId="0" fontId="83" fillId="20" borderId="85" xfId="0" applyFont="1" applyFill="1" applyBorder="1" applyAlignment="1" applyProtection="1">
      <alignment vertical="center" wrapText="1"/>
      <protection locked="0"/>
    </xf>
    <xf numFmtId="0" fontId="83" fillId="31" borderId="12" xfId="0" applyFont="1" applyFill="1" applyBorder="1" applyAlignment="1" applyProtection="1">
      <alignment vertical="center" wrapText="1"/>
      <protection locked="0"/>
    </xf>
    <xf numFmtId="0" fontId="83" fillId="31" borderId="13" xfId="0" applyFont="1" applyFill="1" applyBorder="1" applyAlignment="1" applyProtection="1">
      <alignment vertical="center" wrapText="1"/>
      <protection locked="0"/>
    </xf>
    <xf numFmtId="0" fontId="83" fillId="20" borderId="11" xfId="0" applyFont="1" applyFill="1" applyBorder="1" applyAlignment="1" applyProtection="1">
      <alignment vertical="center" wrapText="1"/>
      <protection locked="0"/>
    </xf>
    <xf numFmtId="0" fontId="83" fillId="20" borderId="12" xfId="0" applyFont="1" applyFill="1" applyBorder="1" applyAlignment="1" applyProtection="1">
      <alignment vertical="center" wrapText="1"/>
      <protection locked="0"/>
    </xf>
    <xf numFmtId="0" fontId="83" fillId="20" borderId="13" xfId="0" applyFont="1" applyFill="1" applyBorder="1" applyAlignment="1" applyProtection="1">
      <alignment vertical="center" wrapText="1"/>
      <protection locked="0"/>
    </xf>
    <xf numFmtId="0" fontId="92" fillId="25" borderId="12" xfId="0" applyFont="1" applyFill="1" applyBorder="1" applyAlignment="1">
      <alignment horizontal="left" vertical="center"/>
    </xf>
    <xf numFmtId="0" fontId="92" fillId="25" borderId="0" xfId="0" applyFont="1" applyFill="1" applyBorder="1" applyAlignment="1">
      <alignment horizontal="left" vertical="center"/>
    </xf>
    <xf numFmtId="0" fontId="28" fillId="25" borderId="23" xfId="3" applyFill="1" applyBorder="1" applyAlignment="1">
      <alignment horizontal="left" vertical="center"/>
    </xf>
    <xf numFmtId="0" fontId="92" fillId="25" borderId="97" xfId="0" applyFont="1" applyFill="1" applyBorder="1" applyAlignment="1">
      <alignment horizontal="left" vertical="center"/>
    </xf>
    <xf numFmtId="0" fontId="92" fillId="25" borderId="6" xfId="0" applyFont="1" applyFill="1" applyBorder="1" applyAlignment="1">
      <alignment horizontal="left" vertical="center"/>
    </xf>
    <xf numFmtId="0" fontId="92" fillId="25" borderId="24" xfId="0" applyFont="1" applyFill="1" applyBorder="1" applyAlignment="1">
      <alignment horizontal="left" vertical="center"/>
    </xf>
    <xf numFmtId="0" fontId="92" fillId="25" borderId="21" xfId="0" applyFont="1" applyFill="1" applyBorder="1" applyAlignment="1">
      <alignment horizontal="left" vertical="center"/>
    </xf>
    <xf numFmtId="0" fontId="92" fillId="25" borderId="14" xfId="0" applyFont="1" applyFill="1" applyBorder="1" applyAlignment="1">
      <alignment horizontal="left" vertical="center"/>
    </xf>
    <xf numFmtId="0" fontId="0" fillId="10" borderId="82" xfId="0" applyFont="1" applyFill="1" applyBorder="1" applyAlignment="1">
      <alignment horizontal="left" indent="1"/>
    </xf>
    <xf numFmtId="0" fontId="0" fillId="20" borderId="82" xfId="0" applyFont="1" applyFill="1" applyBorder="1" applyAlignment="1" applyProtection="1">
      <alignment horizontal="center"/>
      <protection locked="0"/>
    </xf>
    <xf numFmtId="0" fontId="94" fillId="29" borderId="0" xfId="0" applyFont="1" applyFill="1" applyAlignment="1">
      <alignment horizontal="left" vertical="center"/>
    </xf>
    <xf numFmtId="0" fontId="94" fillId="29" borderId="83" xfId="0" applyFont="1" applyFill="1" applyBorder="1" applyAlignment="1">
      <alignment horizontal="left" vertical="center"/>
    </xf>
    <xf numFmtId="0" fontId="94" fillId="29" borderId="0" xfId="0" applyFont="1" applyFill="1" applyBorder="1" applyAlignment="1">
      <alignment horizontal="left" vertical="center"/>
    </xf>
    <xf numFmtId="0" fontId="94" fillId="29" borderId="84" xfId="0" applyFont="1" applyFill="1" applyBorder="1" applyAlignment="1">
      <alignment horizontal="left" vertical="center"/>
    </xf>
    <xf numFmtId="0" fontId="28" fillId="25" borderId="82" xfId="3" applyFont="1" applyFill="1" applyBorder="1" applyAlignment="1">
      <alignment horizontal="left" vertical="center"/>
    </xf>
    <xf numFmtId="0" fontId="94" fillId="29" borderId="86" xfId="0" applyFont="1" applyFill="1" applyBorder="1" applyAlignment="1">
      <alignment horizontal="left" vertical="center"/>
    </xf>
    <xf numFmtId="0" fontId="94" fillId="29" borderId="14" xfId="0" applyFont="1" applyFill="1" applyBorder="1" applyAlignment="1">
      <alignment horizontal="left" vertical="center"/>
    </xf>
    <xf numFmtId="0" fontId="94" fillId="29" borderId="85" xfId="0" applyFont="1" applyFill="1" applyBorder="1" applyAlignment="1">
      <alignment horizontal="left" vertical="center"/>
    </xf>
    <xf numFmtId="0" fontId="94" fillId="29" borderId="82" xfId="0" applyFont="1" applyFill="1" applyBorder="1" applyAlignment="1">
      <alignment horizontal="left" vertical="center"/>
    </xf>
    <xf numFmtId="0" fontId="83" fillId="20" borderId="82" xfId="0" applyFont="1" applyFill="1" applyBorder="1" applyAlignment="1" applyProtection="1">
      <alignment horizontal="center" vertical="center" wrapText="1"/>
      <protection locked="0"/>
    </xf>
    <xf numFmtId="0" fontId="28" fillId="25" borderId="82" xfId="3" applyFill="1" applyBorder="1" applyAlignment="1">
      <alignment horizontal="left" vertical="center"/>
    </xf>
    <xf numFmtId="0" fontId="28" fillId="25" borderId="0" xfId="3" applyFill="1" applyBorder="1" applyAlignment="1">
      <alignment horizontal="left" vertical="center"/>
    </xf>
    <xf numFmtId="0" fontId="83" fillId="20" borderId="0" xfId="0" applyFont="1" applyFill="1" applyBorder="1" applyAlignment="1" applyProtection="1">
      <alignment horizontal="left" vertical="center" wrapText="1"/>
      <protection locked="0"/>
    </xf>
  </cellXfs>
  <cellStyles count="6">
    <cellStyle name="Excel Built-in Normal" xfId="4"/>
    <cellStyle name="Hyperlink" xfId="3" builtinId="8"/>
    <cellStyle name="Hyperlink 2" xfId="5"/>
    <cellStyle name="Normal" xfId="0" builtinId="0"/>
    <cellStyle name="Normal 2" xfId="2"/>
    <cellStyle name="Percent" xfId="1" builtinId="5"/>
  </cellStyles>
  <dxfs count="351">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14996795556505021"/>
      </font>
      <fill>
        <patternFill>
          <bgColor theme="0" tint="-0.1499679555650502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border>
        <left style="thin">
          <color theme="0"/>
        </left>
        <right style="thin">
          <color theme="0"/>
        </right>
        <top style="thin">
          <color theme="0"/>
        </top>
        <bottom style="thin">
          <color theme="0"/>
        </bottom>
      </border>
    </dxf>
    <dxf>
      <font>
        <color theme="0" tint="-0.24994659260841701"/>
      </font>
      <fill>
        <patternFill>
          <bgColor theme="0" tint="-0.24994659260841701"/>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border>
        <left/>
        <right/>
        <top/>
        <bottom/>
      </border>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4.9989318521683403E-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tint="-0.499984740745262"/>
      </font>
      <fill>
        <patternFill>
          <bgColor theme="0" tint="-4.9989318521683403E-2"/>
        </patternFill>
      </fill>
    </dxf>
    <dxf>
      <font>
        <color theme="0"/>
      </font>
      <fill>
        <patternFill>
          <bgColor rgb="FF58B527"/>
        </patternFill>
      </fill>
    </dxf>
    <dxf>
      <font>
        <color theme="0"/>
      </font>
      <fill>
        <patternFill>
          <bgColor rgb="FFFF0000"/>
        </patternFill>
      </fill>
    </dxf>
    <dxf>
      <font>
        <color theme="0"/>
      </font>
      <fill>
        <patternFill>
          <bgColor theme="0" tint="-0.499984740745262"/>
        </patternFill>
      </fill>
    </dxf>
    <dxf>
      <font>
        <color theme="0"/>
      </font>
      <fill>
        <patternFill>
          <bgColor rgb="FFFFC000"/>
        </patternFill>
      </fill>
    </dxf>
    <dxf>
      <font>
        <color theme="0"/>
      </font>
      <fill>
        <patternFill>
          <bgColor theme="8" tint="-0.499984740745262"/>
        </patternFill>
      </fill>
    </dxf>
    <dxf>
      <font>
        <color theme="0"/>
      </font>
      <fill>
        <patternFill>
          <bgColor rgb="FF58B527"/>
        </patternFill>
      </fill>
    </dxf>
    <dxf>
      <font>
        <color theme="0"/>
      </font>
      <fill>
        <patternFill>
          <bgColor rgb="FFFF0000"/>
        </patternFill>
      </fill>
    </dxf>
    <dxf>
      <font>
        <color theme="0"/>
      </font>
      <fill>
        <patternFill>
          <bgColor theme="0" tint="-0.499984740745262"/>
        </patternFill>
      </fill>
    </dxf>
    <dxf>
      <font>
        <color theme="0"/>
      </font>
      <fill>
        <patternFill>
          <bgColor rgb="FFFFC000"/>
        </patternFill>
      </fill>
    </dxf>
    <dxf>
      <font>
        <color theme="0"/>
      </font>
      <fill>
        <patternFill>
          <bgColor theme="8" tint="-0.499984740745262"/>
        </patternFill>
      </fill>
    </dxf>
    <dxf>
      <font>
        <color theme="0"/>
      </font>
      <fill>
        <patternFill>
          <bgColor rgb="FF58B527"/>
        </patternFill>
      </fill>
    </dxf>
    <dxf>
      <font>
        <color theme="0"/>
      </font>
      <fill>
        <patternFill>
          <bgColor rgb="FFFF0000"/>
        </patternFill>
      </fill>
    </dxf>
    <dxf>
      <font>
        <color theme="0"/>
      </font>
      <fill>
        <patternFill>
          <bgColor theme="0" tint="-0.499984740745262"/>
        </patternFill>
      </fill>
    </dxf>
    <dxf>
      <font>
        <color theme="0"/>
      </font>
      <fill>
        <patternFill>
          <bgColor rgb="FFFFC000"/>
        </patternFill>
      </fill>
    </dxf>
    <dxf>
      <font>
        <color theme="0"/>
      </font>
      <fill>
        <patternFill>
          <bgColor theme="8" tint="-0.499984740745262"/>
        </patternFill>
      </fill>
    </dxf>
  </dxfs>
  <tableStyles count="0" defaultTableStyle="TableStyleMedium2" defaultPivotStyle="PivotStyleLight16"/>
  <colors>
    <mruColors>
      <color rgb="FF943634"/>
      <color rgb="FF984806"/>
      <color rgb="FFFFF2CC"/>
      <color rgb="FF58B527"/>
      <color rgb="FF5F4970"/>
      <color rgb="FF0070C0"/>
      <color rgb="FF76923C"/>
      <color rgb="FF58AB27"/>
      <color rgb="FFD9D9D9"/>
      <color rgb="FF0563C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741335980100099"/>
          <c:y val="2.4700282454767082E-2"/>
          <c:w val="0.57416272340861996"/>
          <c:h val="0.88304393377045853"/>
        </c:manualLayout>
      </c:layout>
      <c:doughnutChart>
        <c:varyColors val="1"/>
        <c:ser>
          <c:idx val="1"/>
          <c:order val="0"/>
          <c:spPr>
            <a:solidFill>
              <a:schemeClr val="accent1"/>
            </a:solidFill>
          </c:spPr>
          <c:dPt>
            <c:idx val="0"/>
            <c:bubble3D val="0"/>
            <c:spPr>
              <a:solidFill>
                <a:srgbClr val="FF0000"/>
              </a:solidFill>
            </c:spPr>
          </c:dPt>
          <c:dPt>
            <c:idx val="1"/>
            <c:bubble3D val="0"/>
            <c:spPr>
              <a:solidFill>
                <a:srgbClr val="58B527"/>
              </a:solidFill>
            </c:spPr>
          </c:dPt>
          <c:dPt>
            <c:idx val="2"/>
            <c:bubble3D val="0"/>
            <c:spPr>
              <a:solidFill>
                <a:schemeClr val="bg1">
                  <a:lumMod val="50000"/>
                </a:schemeClr>
              </a:solidFill>
            </c:spPr>
          </c:dPt>
          <c:dPt>
            <c:idx val="3"/>
            <c:bubble3D val="0"/>
            <c:spPr>
              <a:solidFill>
                <a:srgbClr val="FFC000"/>
              </a:solidFill>
            </c:spPr>
          </c:dPt>
          <c:dPt>
            <c:idx val="4"/>
            <c:bubble3D val="0"/>
            <c:spPr>
              <a:solidFill>
                <a:schemeClr val="accent5">
                  <a:lumMod val="50000"/>
                </a:schemeClr>
              </a:solidFill>
            </c:spPr>
          </c:dPt>
          <c:cat>
            <c:strRef>
              <c:f>'Graphical Results'!$P$6:$P$10</c:f>
              <c:strCache>
                <c:ptCount val="5"/>
                <c:pt idx="0">
                  <c:v>uncertified</c:v>
                </c:pt>
                <c:pt idx="1">
                  <c:v>certified</c:v>
                </c:pt>
                <c:pt idx="2">
                  <c:v>silver</c:v>
                </c:pt>
                <c:pt idx="3">
                  <c:v>gold</c:v>
                </c:pt>
                <c:pt idx="4">
                  <c:v>platinum</c:v>
                </c:pt>
              </c:strCache>
            </c:strRef>
          </c:cat>
          <c:val>
            <c:numRef>
              <c:f>'Graphical Results'!$O$6:$O$10</c:f>
              <c:numCache>
                <c:formatCode>General</c:formatCode>
                <c:ptCount val="5"/>
                <c:pt idx="0">
                  <c:v>31</c:v>
                </c:pt>
                <c:pt idx="1">
                  <c:v>12</c:v>
                </c:pt>
                <c:pt idx="2">
                  <c:v>8</c:v>
                </c:pt>
                <c:pt idx="3">
                  <c:v>8</c:v>
                </c:pt>
                <c:pt idx="4">
                  <c:v>40</c:v>
                </c:pt>
              </c:numCache>
            </c:numRef>
          </c:val>
        </c:ser>
        <c:dLbls>
          <c:showLegendKey val="0"/>
          <c:showVal val="0"/>
          <c:showCatName val="0"/>
          <c:showSerName val="0"/>
          <c:showPercent val="0"/>
          <c:showBubbleSize val="0"/>
          <c:showLeaderLines val="1"/>
        </c:dLbls>
        <c:firstSliceAng val="360"/>
        <c:holeSize val="85"/>
      </c:doughnutChart>
      <c:pieChart>
        <c:varyColors val="1"/>
        <c:ser>
          <c:idx val="0"/>
          <c:order val="2"/>
          <c:explosion val="2"/>
          <c:dPt>
            <c:idx val="0"/>
            <c:bubble3D val="0"/>
            <c:spPr>
              <a:noFill/>
            </c:spPr>
          </c:dPt>
          <c:dPt>
            <c:idx val="2"/>
            <c:bubble3D val="0"/>
            <c:spPr>
              <a:noFill/>
            </c:spPr>
          </c:dPt>
          <c:val>
            <c:numRef>
              <c:f>'Graphical Results'!$O$13:$O$15</c:f>
              <c:numCache>
                <c:formatCode>General</c:formatCode>
                <c:ptCount val="3"/>
                <c:pt idx="0">
                  <c:v>0</c:v>
                </c:pt>
                <c:pt idx="1">
                  <c:v>0.5</c:v>
                </c:pt>
                <c:pt idx="2">
                  <c:v>99.5</c:v>
                </c:pt>
              </c:numCache>
            </c:numRef>
          </c:val>
        </c:ser>
        <c:dLbls>
          <c:showLegendKey val="0"/>
          <c:showVal val="0"/>
          <c:showCatName val="0"/>
          <c:showSerName val="0"/>
          <c:showPercent val="0"/>
          <c:showBubbleSize val="0"/>
          <c:showLeaderLines val="1"/>
        </c:dLbls>
        <c:firstSliceAng val="0"/>
      </c:pieChart>
      <c:doughnutChart>
        <c:varyColors val="1"/>
        <c:ser>
          <c:idx val="2"/>
          <c:order val="1"/>
          <c:spPr>
            <a:noFill/>
          </c:spPr>
          <c:dLbls>
            <c:dLbl>
              <c:idx val="0"/>
              <c:layout>
                <c:manualLayout>
                  <c:x val="-1.8433184182586253E-2"/>
                  <c:y val="0.34019578371524883"/>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3.0721973637643884E-3"/>
                  <c:y val="-0.30712119363182172"/>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quot;Points: &quot;\ 0" sourceLinked="0"/>
            <c:spPr>
              <a:noFill/>
              <a:ln>
                <a:noFill/>
              </a:ln>
              <a:effectLst/>
            </c:spPr>
            <c:txPr>
              <a:bodyPr/>
              <a:lstStyle/>
              <a:p>
                <a:pPr>
                  <a:defRPr sz="1200" b="1">
                    <a:solidFill>
                      <a:srgbClr val="943634"/>
                    </a:solidFill>
                    <a:latin typeface="+mn-lt"/>
                  </a:defRPr>
                </a:pPr>
                <a:endParaRPr lang="en-US"/>
              </a:p>
            </c:txPr>
            <c:showLegendKey val="0"/>
            <c:showVal val="1"/>
            <c:showCatName val="0"/>
            <c:showSerName val="0"/>
            <c:showPercent val="0"/>
            <c:showBubbleSize val="0"/>
            <c:showLeaderLines val="1"/>
            <c:leaderLines>
              <c:spPr>
                <a:ln>
                  <a:noFill/>
                </a:ln>
              </c:spPr>
            </c:leaderLines>
            <c:extLst>
              <c:ext xmlns:c15="http://schemas.microsoft.com/office/drawing/2012/chart" uri="{CE6537A1-D6FC-4f65-9D91-7224C49458BB}"/>
            </c:extLst>
          </c:dLbls>
          <c:val>
            <c:numRef>
              <c:f>'Graphical Results'!$N$5:$N$6</c:f>
              <c:numCache>
                <c:formatCode>General</c:formatCode>
                <c:ptCount val="2"/>
                <c:pt idx="1">
                  <c:v>0</c:v>
                </c:pt>
              </c:numCache>
            </c:numRef>
          </c:val>
        </c:ser>
        <c:dLbls>
          <c:showLegendKey val="0"/>
          <c:showVal val="0"/>
          <c:showCatName val="0"/>
          <c:showSerName val="0"/>
          <c:showPercent val="0"/>
          <c:showBubbleSize val="0"/>
          <c:showLeaderLines val="1"/>
        </c:dLbls>
        <c:firstSliceAng val="0"/>
        <c:holeSize val="50"/>
      </c:doughnutChart>
    </c:plotArea>
    <c:plotVisOnly val="0"/>
    <c:dispBlanksAs val="gap"/>
    <c:showDLblsOverMax val="0"/>
  </c:chart>
  <c:spPr>
    <a:solidFill>
      <a:sysClr val="window" lastClr="FFFFFF">
        <a:lumMod val="95000"/>
      </a:sysClr>
    </a:solidFill>
    <a:ln>
      <a:noFill/>
    </a:ln>
  </c:spPr>
  <c:printSettings>
    <c:headerFooter/>
    <c:pageMargins b="0.75000000000000433" l="0.70000000000000062" r="0.70000000000000062" t="0.75000000000000433"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20660777526586"/>
          <c:y val="5.2826337564500607E-2"/>
          <c:w val="0.82122515811116448"/>
          <c:h val="0.69767241466513263"/>
        </c:manualLayout>
      </c:layout>
      <c:barChart>
        <c:barDir val="col"/>
        <c:grouping val="stacked"/>
        <c:varyColors val="0"/>
        <c:ser>
          <c:idx val="0"/>
          <c:order val="0"/>
          <c:invertIfNegative val="0"/>
          <c:dPt>
            <c:idx val="0"/>
            <c:invertIfNegative val="0"/>
            <c:bubble3D val="0"/>
            <c:spPr>
              <a:solidFill>
                <a:srgbClr val="58AB27"/>
              </a:solidFill>
            </c:spPr>
          </c:dPt>
          <c:dPt>
            <c:idx val="1"/>
            <c:invertIfNegative val="0"/>
            <c:bubble3D val="0"/>
            <c:spPr>
              <a:solidFill>
                <a:srgbClr val="0563C1"/>
              </a:solidFill>
            </c:spPr>
          </c:dPt>
          <c:dPt>
            <c:idx val="2"/>
            <c:invertIfNegative val="0"/>
            <c:bubble3D val="0"/>
            <c:spPr>
              <a:solidFill>
                <a:srgbClr val="5F4970"/>
              </a:solidFill>
            </c:spPr>
          </c:dPt>
          <c:dPt>
            <c:idx val="3"/>
            <c:invertIfNegative val="0"/>
            <c:bubble3D val="0"/>
            <c:spPr>
              <a:solidFill>
                <a:srgbClr val="943634"/>
              </a:solidFill>
            </c:spPr>
          </c:dPt>
          <c:dPt>
            <c:idx val="4"/>
            <c:invertIfNegative val="0"/>
            <c:bubble3D val="0"/>
            <c:spPr>
              <a:solidFill>
                <a:srgbClr val="76923C"/>
              </a:solidFill>
            </c:spPr>
          </c:dPt>
          <c:dPt>
            <c:idx val="5"/>
            <c:invertIfNegative val="0"/>
            <c:bubble3D val="0"/>
            <c:spPr>
              <a:solidFill>
                <a:srgbClr val="984806"/>
              </a:solidFill>
            </c:spPr>
          </c:dPt>
          <c:dPt>
            <c:idx val="6"/>
            <c:invertIfNegative val="0"/>
            <c:bubble3D val="0"/>
            <c:spPr>
              <a:solidFill>
                <a:srgbClr val="FFC000"/>
              </a:solidFill>
            </c:spPr>
          </c:dPt>
          <c:dLbls>
            <c:spPr>
              <a:noFill/>
              <a:ln>
                <a:noFill/>
              </a:ln>
              <a:effectLst/>
            </c:spPr>
            <c:txPr>
              <a:bodyPr/>
              <a:lstStyle/>
              <a:p>
                <a:pPr>
                  <a:defRPr>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'Graphical Results'!$R$6:$R$12</c:f>
              <c:strCache>
                <c:ptCount val="7"/>
                <c:pt idx="0">
                  <c:v>Energy</c:v>
                </c:pt>
                <c:pt idx="1">
                  <c:v>Water</c:v>
                </c:pt>
                <c:pt idx="2">
                  <c:v>Materials</c:v>
                </c:pt>
                <c:pt idx="3">
                  <c:v>H&amp;C</c:v>
                </c:pt>
                <c:pt idx="4">
                  <c:v>LE</c:v>
                </c:pt>
                <c:pt idx="5">
                  <c:v>C&amp;M</c:v>
                </c:pt>
                <c:pt idx="6">
                  <c:v>Innovation</c:v>
                </c:pt>
              </c:strCache>
            </c:strRef>
          </c:cat>
          <c:val>
            <c:numRef>
              <c:f>'Graphical Results'!$T$6:$T$12</c:f>
              <c:numCache>
                <c:formatCode>General</c:formatCode>
                <c:ptCount val="7"/>
                <c:pt idx="0">
                  <c:v>0</c:v>
                </c:pt>
                <c:pt idx="1">
                  <c:v>0</c:v>
                </c:pt>
                <c:pt idx="2">
                  <c:v>0</c:v>
                </c:pt>
                <c:pt idx="3">
                  <c:v>0</c:v>
                </c:pt>
                <c:pt idx="4">
                  <c:v>0</c:v>
                </c:pt>
                <c:pt idx="5">
                  <c:v>0</c:v>
                </c:pt>
                <c:pt idx="6">
                  <c:v>0</c:v>
                </c:pt>
              </c:numCache>
            </c:numRef>
          </c:val>
        </c:ser>
        <c:ser>
          <c:idx val="1"/>
          <c:order val="1"/>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invertIfNegative val="0"/>
          <c:dPt>
            <c:idx val="0"/>
            <c:invertIfNegative val="0"/>
            <c:bubble3D val="0"/>
            <c:spPr>
              <a:solidFill>
                <a:srgbClr val="58B527">
                  <a:alpha val="50000"/>
                </a:srgbClr>
              </a:solidFill>
            </c:spPr>
          </c:dPt>
          <c:dPt>
            <c:idx val="1"/>
            <c:invertIfNegative val="0"/>
            <c:bubble3D val="0"/>
            <c:spPr>
              <a:solidFill>
                <a:srgbClr val="0563C1">
                  <a:alpha val="50000"/>
                </a:srgbClr>
              </a:solidFill>
            </c:spPr>
          </c:dPt>
          <c:dPt>
            <c:idx val="2"/>
            <c:invertIfNegative val="0"/>
            <c:bubble3D val="0"/>
            <c:spPr>
              <a:solidFill>
                <a:srgbClr val="5F4970">
                  <a:alpha val="50000"/>
                </a:srgbClr>
              </a:solidFill>
            </c:spPr>
          </c:dPt>
          <c:dPt>
            <c:idx val="3"/>
            <c:invertIfNegative val="0"/>
            <c:bubble3D val="0"/>
            <c:spPr>
              <a:solidFill>
                <a:srgbClr val="943634">
                  <a:alpha val="50000"/>
                </a:srgbClr>
              </a:solidFill>
            </c:spPr>
          </c:dPt>
          <c:dPt>
            <c:idx val="4"/>
            <c:invertIfNegative val="0"/>
            <c:bubble3D val="0"/>
            <c:spPr>
              <a:solidFill>
                <a:srgbClr val="76923C">
                  <a:alpha val="50000"/>
                </a:srgbClr>
              </a:solidFill>
            </c:spPr>
          </c:dPt>
          <c:dPt>
            <c:idx val="5"/>
            <c:invertIfNegative val="0"/>
            <c:bubble3D val="0"/>
            <c:spPr>
              <a:solidFill>
                <a:srgbClr val="984806">
                  <a:alpha val="50000"/>
                </a:srgbClr>
              </a:solidFill>
            </c:spPr>
          </c:dPt>
          <c:dPt>
            <c:idx val="6"/>
            <c:invertIfNegative val="0"/>
            <c:bubble3D val="0"/>
            <c:spPr>
              <a:solidFill>
                <a:srgbClr val="FFC000">
                  <a:alpha val="50000"/>
                </a:srgbClr>
              </a:solidFill>
            </c:spPr>
          </c:dPt>
          <c:cat>
            <c:strRef>
              <c:f>'Graphical Results'!$R$6:$R$12</c:f>
              <c:strCache>
                <c:ptCount val="7"/>
                <c:pt idx="0">
                  <c:v>Energy</c:v>
                </c:pt>
                <c:pt idx="1">
                  <c:v>Water</c:v>
                </c:pt>
                <c:pt idx="2">
                  <c:v>Materials</c:v>
                </c:pt>
                <c:pt idx="3">
                  <c:v>H&amp;C</c:v>
                </c:pt>
                <c:pt idx="4">
                  <c:v>LE</c:v>
                </c:pt>
                <c:pt idx="5">
                  <c:v>C&amp;M</c:v>
                </c:pt>
                <c:pt idx="6">
                  <c:v>Innovation</c:v>
                </c:pt>
              </c:strCache>
            </c:strRef>
          </c:cat>
          <c:val>
            <c:numRef>
              <c:f>'Graphical Results'!$S$6:$S$12</c:f>
              <c:numCache>
                <c:formatCode>General</c:formatCode>
                <c:ptCount val="7"/>
                <c:pt idx="0">
                  <c:v>29</c:v>
                </c:pt>
                <c:pt idx="1">
                  <c:v>12</c:v>
                </c:pt>
                <c:pt idx="2">
                  <c:v>14</c:v>
                </c:pt>
                <c:pt idx="3">
                  <c:v>14</c:v>
                </c:pt>
                <c:pt idx="4">
                  <c:v>17</c:v>
                </c:pt>
                <c:pt idx="5">
                  <c:v>10</c:v>
                </c:pt>
                <c:pt idx="6">
                  <c:v>4</c:v>
                </c:pt>
              </c:numCache>
            </c:numRef>
          </c:val>
        </c:ser>
        <c:dLbls>
          <c:showLegendKey val="0"/>
          <c:showVal val="0"/>
          <c:showCatName val="0"/>
          <c:showSerName val="0"/>
          <c:showPercent val="0"/>
          <c:showBubbleSize val="0"/>
        </c:dLbls>
        <c:gapWidth val="69"/>
        <c:overlap val="100"/>
        <c:axId val="110977792"/>
        <c:axId val="110979328"/>
      </c:barChart>
      <c:catAx>
        <c:axId val="110977792"/>
        <c:scaling>
          <c:orientation val="minMax"/>
        </c:scaling>
        <c:delete val="0"/>
        <c:axPos val="b"/>
        <c:numFmt formatCode="General" sourceLinked="0"/>
        <c:majorTickMark val="out"/>
        <c:minorTickMark val="none"/>
        <c:tickLblPos val="nextTo"/>
        <c:spPr>
          <a:noFill/>
          <a:ln w="0">
            <a:noFill/>
          </a:ln>
        </c:spPr>
        <c:crossAx val="110979328"/>
        <c:crosses val="autoZero"/>
        <c:auto val="1"/>
        <c:lblAlgn val="ctr"/>
        <c:lblOffset val="100"/>
        <c:noMultiLvlLbl val="0"/>
      </c:catAx>
      <c:valAx>
        <c:axId val="110979328"/>
        <c:scaling>
          <c:orientation val="minMax"/>
          <c:max val="30"/>
        </c:scaling>
        <c:delete val="0"/>
        <c:axPos val="l"/>
        <c:title>
          <c:tx>
            <c:rich>
              <a:bodyPr rot="-5400000" vert="horz" anchor="ctr" anchorCtr="1"/>
              <a:lstStyle/>
              <a:p>
                <a:pPr>
                  <a:defRPr/>
                </a:pPr>
                <a:r>
                  <a:rPr lang="fr-FR" sz="1050" b="0"/>
                  <a:t>Points / Points available</a:t>
                </a:r>
              </a:p>
            </c:rich>
          </c:tx>
          <c:layout>
            <c:manualLayout>
              <c:xMode val="edge"/>
              <c:yMode val="edge"/>
              <c:x val="2.1406727828746235E-2"/>
              <c:y val="0.15582732228401519"/>
            </c:manualLayout>
          </c:layout>
          <c:overlay val="0"/>
        </c:title>
        <c:numFmt formatCode="General" sourceLinked="1"/>
        <c:majorTickMark val="out"/>
        <c:minorTickMark val="none"/>
        <c:tickLblPos val="nextTo"/>
        <c:spPr>
          <a:ln>
            <a:solidFill>
              <a:schemeClr val="bg1">
                <a:lumMod val="75000"/>
              </a:schemeClr>
            </a:solidFill>
          </a:ln>
        </c:spPr>
        <c:crossAx val="110977792"/>
        <c:crosses val="autoZero"/>
        <c:crossBetween val="between"/>
      </c:valAx>
      <c:spPr>
        <a:solidFill>
          <a:schemeClr val="bg1">
            <a:lumMod val="95000"/>
          </a:schemeClr>
        </a:solidFill>
      </c:spPr>
    </c:plotArea>
    <c:plotVisOnly val="0"/>
    <c:dispBlanksAs val="gap"/>
    <c:showDLblsOverMax val="0"/>
  </c:chart>
  <c:spPr>
    <a:noFill/>
    <a:ln>
      <a:noFill/>
    </a:ln>
  </c:spPr>
  <c:printSettings>
    <c:headerFooter/>
    <c:pageMargins b="0.75000000000000322" l="0.70000000000000062" r="0.70000000000000062" t="0.75000000000000322"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4590156318955719E-2"/>
          <c:y val="3.530764536785843E-2"/>
          <c:w val="0.7104503751190393"/>
          <c:h val="0.89950579706948464"/>
        </c:manualLayout>
      </c:layout>
      <c:doughnutChart>
        <c:varyColors val="0"/>
        <c:ser>
          <c:idx val="5"/>
          <c:order val="0"/>
          <c:tx>
            <c:v>C&amp;M</c:v>
          </c:tx>
          <c:dPt>
            <c:idx val="0"/>
            <c:bubble3D val="0"/>
            <c:spPr>
              <a:solidFill>
                <a:srgbClr val="984806"/>
              </a:solidFill>
            </c:spPr>
          </c:dPt>
          <c:dPt>
            <c:idx val="1"/>
            <c:bubble3D val="0"/>
            <c:spPr>
              <a:solidFill>
                <a:srgbClr val="984806">
                  <a:alpha val="40000"/>
                </a:srgbClr>
              </a:solidFill>
            </c:spPr>
          </c:dPt>
          <c:dLbls>
            <c:dLbl>
              <c:idx val="0"/>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Results'!$T$11:$U$11</c:f>
              <c:numCache>
                <c:formatCode>General</c:formatCode>
                <c:ptCount val="2"/>
                <c:pt idx="0">
                  <c:v>0</c:v>
                </c:pt>
                <c:pt idx="1">
                  <c:v>10</c:v>
                </c:pt>
              </c:numCache>
            </c:numRef>
          </c:val>
        </c:ser>
        <c:ser>
          <c:idx val="6"/>
          <c:order val="1"/>
          <c:val>
            <c:numRef>
              <c:f>'Graphical Results'!$K$22:$L$22</c:f>
              <c:numCache>
                <c:formatCode>General</c:formatCode>
                <c:ptCount val="2"/>
              </c:numCache>
            </c:numRef>
          </c:val>
        </c:ser>
        <c:ser>
          <c:idx val="4"/>
          <c:order val="2"/>
          <c:tx>
            <c:v>LE</c:v>
          </c:tx>
          <c:spPr>
            <a:solidFill>
              <a:srgbClr val="76923C">
                <a:alpha val="50000"/>
              </a:srgbClr>
            </a:solidFill>
          </c:spPr>
          <c:dPt>
            <c:idx val="0"/>
            <c:bubble3D val="0"/>
            <c:spPr>
              <a:solidFill>
                <a:srgbClr val="76923C"/>
              </a:solidFill>
            </c:spPr>
          </c:dPt>
          <c:dPt>
            <c:idx val="1"/>
            <c:bubble3D val="0"/>
            <c:spPr>
              <a:solidFill>
                <a:srgbClr val="76923C">
                  <a:alpha val="40000"/>
                </a:srgbClr>
              </a:solidFill>
            </c:spPr>
          </c:dPt>
          <c:dLbls>
            <c:dLbl>
              <c:idx val="0"/>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Results'!$T$10:$U$10</c:f>
              <c:numCache>
                <c:formatCode>General</c:formatCode>
                <c:ptCount val="2"/>
                <c:pt idx="0">
                  <c:v>0</c:v>
                </c:pt>
                <c:pt idx="1">
                  <c:v>17</c:v>
                </c:pt>
              </c:numCache>
            </c:numRef>
          </c:val>
        </c:ser>
        <c:ser>
          <c:idx val="7"/>
          <c:order val="3"/>
          <c:val>
            <c:numRef>
              <c:f>'Graphical Results'!$K$28:$L$28</c:f>
              <c:numCache>
                <c:formatCode>General</c:formatCode>
                <c:ptCount val="2"/>
              </c:numCache>
            </c:numRef>
          </c:val>
        </c:ser>
        <c:ser>
          <c:idx val="3"/>
          <c:order val="4"/>
          <c:tx>
            <c:v>H&amp;C</c:v>
          </c:tx>
          <c:dPt>
            <c:idx val="0"/>
            <c:bubble3D val="0"/>
            <c:spPr>
              <a:solidFill>
                <a:srgbClr val="943634"/>
              </a:solidFill>
            </c:spPr>
          </c:dPt>
          <c:dPt>
            <c:idx val="1"/>
            <c:bubble3D val="0"/>
            <c:spPr>
              <a:solidFill>
                <a:srgbClr val="943634">
                  <a:alpha val="40000"/>
                </a:srgbClr>
              </a:solidFill>
            </c:spPr>
          </c:dPt>
          <c:dLbls>
            <c:dLbl>
              <c:idx val="0"/>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Results'!$T$9:$U$9</c:f>
              <c:numCache>
                <c:formatCode>General</c:formatCode>
                <c:ptCount val="2"/>
                <c:pt idx="0">
                  <c:v>0</c:v>
                </c:pt>
                <c:pt idx="1">
                  <c:v>14</c:v>
                </c:pt>
              </c:numCache>
            </c:numRef>
          </c:val>
        </c:ser>
        <c:ser>
          <c:idx val="8"/>
          <c:order val="5"/>
          <c:val>
            <c:numRef>
              <c:f>'Graphical Results'!$K$29:$L$29</c:f>
              <c:numCache>
                <c:formatCode>General</c:formatCode>
                <c:ptCount val="2"/>
              </c:numCache>
            </c:numRef>
          </c:val>
        </c:ser>
        <c:ser>
          <c:idx val="2"/>
          <c:order val="6"/>
          <c:tx>
            <c:v>Materials</c:v>
          </c:tx>
          <c:dPt>
            <c:idx val="0"/>
            <c:bubble3D val="0"/>
            <c:spPr>
              <a:solidFill>
                <a:srgbClr val="5F4970"/>
              </a:solidFill>
            </c:spPr>
          </c:dPt>
          <c:dPt>
            <c:idx val="1"/>
            <c:bubble3D val="0"/>
            <c:spPr>
              <a:solidFill>
                <a:srgbClr val="5F4970">
                  <a:alpha val="40000"/>
                </a:srgbClr>
              </a:solidFill>
            </c:spPr>
          </c:dPt>
          <c:dLbls>
            <c:dLbl>
              <c:idx val="0"/>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Results'!$T$8:$U$8</c:f>
              <c:numCache>
                <c:formatCode>General</c:formatCode>
                <c:ptCount val="2"/>
                <c:pt idx="0">
                  <c:v>0</c:v>
                </c:pt>
                <c:pt idx="1">
                  <c:v>14</c:v>
                </c:pt>
              </c:numCache>
            </c:numRef>
          </c:val>
        </c:ser>
        <c:ser>
          <c:idx val="9"/>
          <c:order val="7"/>
          <c:val>
            <c:numRef>
              <c:f>'Graphical Results'!$K$31:$L$31</c:f>
              <c:numCache>
                <c:formatCode>General</c:formatCode>
                <c:ptCount val="2"/>
              </c:numCache>
            </c:numRef>
          </c:val>
        </c:ser>
        <c:ser>
          <c:idx val="1"/>
          <c:order val="8"/>
          <c:tx>
            <c:v>Water</c:v>
          </c:tx>
          <c:dPt>
            <c:idx val="0"/>
            <c:bubble3D val="0"/>
            <c:spPr>
              <a:solidFill>
                <a:srgbClr val="0070C0"/>
              </a:solidFill>
            </c:spPr>
          </c:dPt>
          <c:dPt>
            <c:idx val="1"/>
            <c:bubble3D val="0"/>
            <c:spPr>
              <a:solidFill>
                <a:srgbClr val="0070C0">
                  <a:alpha val="40000"/>
                </a:srgbClr>
              </a:solidFill>
            </c:spPr>
          </c:dPt>
          <c:dLbls>
            <c:dLbl>
              <c:idx val="0"/>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Results'!$T$7:$U$7</c:f>
              <c:numCache>
                <c:formatCode>General</c:formatCode>
                <c:ptCount val="2"/>
                <c:pt idx="0">
                  <c:v>0</c:v>
                </c:pt>
                <c:pt idx="1">
                  <c:v>12</c:v>
                </c:pt>
              </c:numCache>
            </c:numRef>
          </c:val>
        </c:ser>
        <c:ser>
          <c:idx val="10"/>
          <c:order val="9"/>
          <c:val>
            <c:numRef>
              <c:f>'Graphical Results'!$K$34:$L$34</c:f>
              <c:numCache>
                <c:formatCode>General</c:formatCode>
                <c:ptCount val="2"/>
              </c:numCache>
            </c:numRef>
          </c:val>
        </c:ser>
        <c:ser>
          <c:idx val="0"/>
          <c:order val="10"/>
          <c:tx>
            <c:v>Energy</c:v>
          </c:tx>
          <c:dPt>
            <c:idx val="0"/>
            <c:bubble3D val="0"/>
            <c:spPr>
              <a:solidFill>
                <a:srgbClr val="58B527"/>
              </a:solidFill>
            </c:spPr>
          </c:dPt>
          <c:dPt>
            <c:idx val="1"/>
            <c:bubble3D val="0"/>
            <c:spPr>
              <a:solidFill>
                <a:srgbClr val="58B527">
                  <a:alpha val="40000"/>
                </a:srgbClr>
              </a:solidFill>
            </c:spPr>
          </c:dPt>
          <c:dLbls>
            <c:dLbl>
              <c:idx val="0"/>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a:solidFill>
                      <a:schemeClr val="bg1"/>
                    </a:solidFill>
                  </a:defRPr>
                </a:pPr>
                <a:endParaRPr lang="en-US"/>
              </a:p>
            </c:txPr>
            <c:showLegendKey val="0"/>
            <c:showVal val="0"/>
            <c:showCatName val="0"/>
            <c:showSerName val="0"/>
            <c:showPercent val="0"/>
            <c:showBubbleSize val="0"/>
            <c:extLst>
              <c:ext xmlns:c15="http://schemas.microsoft.com/office/drawing/2012/chart" uri="{CE6537A1-D6FC-4f65-9D91-7224C49458BB}"/>
            </c:extLst>
          </c:dLbls>
          <c:val>
            <c:numRef>
              <c:f>'Graphical Results'!$T$6:$U$6</c:f>
              <c:numCache>
                <c:formatCode>General</c:formatCode>
                <c:ptCount val="2"/>
                <c:pt idx="0">
                  <c:v>0</c:v>
                </c:pt>
                <c:pt idx="1">
                  <c:v>29</c:v>
                </c:pt>
              </c:numCache>
            </c:numRef>
          </c:val>
        </c:ser>
        <c:dLbls>
          <c:showLegendKey val="0"/>
          <c:showVal val="0"/>
          <c:showCatName val="0"/>
          <c:showSerName val="0"/>
          <c:showPercent val="0"/>
          <c:showBubbleSize val="0"/>
          <c:showLeaderLines val="1"/>
        </c:dLbls>
        <c:firstSliceAng val="0"/>
        <c:holeSize val="15"/>
      </c:doughnutChart>
    </c:plotArea>
    <c:legend>
      <c:legendPos val="r"/>
      <c:legendEntry>
        <c:idx val="1"/>
        <c:delete val="1"/>
      </c:legendEntry>
      <c:legendEntry>
        <c:idx val="3"/>
        <c:delete val="1"/>
      </c:legendEntry>
      <c:legendEntry>
        <c:idx val="5"/>
        <c:delete val="1"/>
      </c:legendEntry>
      <c:legendEntry>
        <c:idx val="7"/>
        <c:delete val="1"/>
      </c:legendEntry>
      <c:legendEntry>
        <c:idx val="9"/>
        <c:delete val="1"/>
      </c:legendEntry>
      <c:overlay val="0"/>
    </c:legend>
    <c:plotVisOnly val="0"/>
    <c:dispBlanksAs val="zero"/>
    <c:showDLblsOverMax val="0"/>
  </c:chart>
  <c:spPr>
    <a:solidFill>
      <a:sysClr val="window" lastClr="FFFFFF">
        <a:lumMod val="95000"/>
      </a:sysClr>
    </a:solidFill>
    <a:ln>
      <a:noFill/>
    </a:ln>
  </c:spPr>
  <c:printSettings>
    <c:headerFooter/>
    <c:pageMargins b="0.75000000000000255" l="0.70000000000000062" r="0.70000000000000062" t="0.7500000000000025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radarChart>
        <c:radarStyle val="filled"/>
        <c:varyColors val="0"/>
        <c:ser>
          <c:idx val="0"/>
          <c:order val="0"/>
          <c:spPr>
            <a:solidFill>
              <a:srgbClr val="943634">
                <a:alpha val="50196"/>
              </a:srgbClr>
            </a:solidFill>
            <a:ln>
              <a:solidFill>
                <a:srgbClr val="943634"/>
              </a:solidFill>
            </a:ln>
          </c:spPr>
          <c:cat>
            <c:strRef>
              <c:f>'Graphical Results'!$R$6:$R$11</c:f>
              <c:strCache>
                <c:ptCount val="6"/>
                <c:pt idx="0">
                  <c:v>Energy</c:v>
                </c:pt>
                <c:pt idx="1">
                  <c:v>Water</c:v>
                </c:pt>
                <c:pt idx="2">
                  <c:v>Materials</c:v>
                </c:pt>
                <c:pt idx="3">
                  <c:v>H&amp;C</c:v>
                </c:pt>
                <c:pt idx="4">
                  <c:v>LE</c:v>
                </c:pt>
                <c:pt idx="5">
                  <c:v>C&amp;M</c:v>
                </c:pt>
              </c:strCache>
            </c:strRef>
          </c:cat>
          <c:val>
            <c:numRef>
              <c:f>'Graphical Results'!$S$14:$S$19</c:f>
              <c:numCache>
                <c:formatCode>0.00%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axId val="111121536"/>
        <c:axId val="111123072"/>
      </c:radarChart>
      <c:catAx>
        <c:axId val="111121536"/>
        <c:scaling>
          <c:orientation val="minMax"/>
        </c:scaling>
        <c:delete val="0"/>
        <c:axPos val="b"/>
        <c:majorGridlines/>
        <c:numFmt formatCode="General" sourceLinked="0"/>
        <c:majorTickMark val="out"/>
        <c:minorTickMark val="none"/>
        <c:tickLblPos val="nextTo"/>
        <c:crossAx val="111123072"/>
        <c:crosses val="autoZero"/>
        <c:auto val="1"/>
        <c:lblAlgn val="ctr"/>
        <c:lblOffset val="100"/>
        <c:noMultiLvlLbl val="0"/>
      </c:catAx>
      <c:valAx>
        <c:axId val="111123072"/>
        <c:scaling>
          <c:orientation val="minMax"/>
          <c:max val="1"/>
        </c:scaling>
        <c:delete val="0"/>
        <c:axPos val="l"/>
        <c:majorGridlines/>
        <c:numFmt formatCode="0%" sourceLinked="0"/>
        <c:majorTickMark val="cross"/>
        <c:minorTickMark val="none"/>
        <c:tickLblPos val="nextTo"/>
        <c:txPr>
          <a:bodyPr/>
          <a:lstStyle/>
          <a:p>
            <a:pPr>
              <a:defRPr sz="800"/>
            </a:pPr>
            <a:endParaRPr lang="en-US"/>
          </a:p>
        </c:txPr>
        <c:crossAx val="111121536"/>
        <c:crosses val="autoZero"/>
        <c:crossBetween val="between"/>
        <c:majorUnit val="0.2"/>
      </c:valAx>
      <c:spPr>
        <a:solidFill>
          <a:sysClr val="window" lastClr="FFFFFF">
            <a:lumMod val="95000"/>
          </a:sysClr>
        </a:solidFill>
        <a:ln>
          <a:noFill/>
        </a:ln>
      </c:spPr>
    </c:plotArea>
    <c:plotVisOnly val="0"/>
    <c:dispBlanksAs val="gap"/>
    <c:showDLblsOverMax val="0"/>
  </c:chart>
  <c:spPr>
    <a:solidFill>
      <a:sysClr val="window" lastClr="FFFFFF">
        <a:lumMod val="95000"/>
      </a:sysClr>
    </a:solidFill>
    <a:ln>
      <a:noFill/>
    </a:ln>
  </c:spPr>
  <c:printSettings>
    <c:headerFooter/>
    <c:pageMargins b="0.75000000000000233" l="0.70000000000000062" r="0.70000000000000062" t="0.75000000000000233" header="0.30000000000000032" footer="0.30000000000000032"/>
    <c:pageSetup/>
  </c:printSettings>
</c:chartSpace>
</file>

<file path=xl/ctrlProps/ctrlProp1.xml><?xml version="1.0" encoding="utf-8"?>
<formControlPr xmlns="http://schemas.microsoft.com/office/spreadsheetml/2009/9/main" objectType="CheckBox" fmlaLink="$O$69" lockText="1" noThreeD="1"/>
</file>

<file path=xl/ctrlProps/ctrlProp10.xml><?xml version="1.0" encoding="utf-8"?>
<formControlPr xmlns="http://schemas.microsoft.com/office/spreadsheetml/2009/9/main" objectType="CheckBox" fmlaLink="$P$58" lockText="1" noThreeD="1"/>
</file>

<file path=xl/ctrlProps/ctrlProp11.xml><?xml version="1.0" encoding="utf-8"?>
<formControlPr xmlns="http://schemas.microsoft.com/office/spreadsheetml/2009/9/main" objectType="CheckBox" fmlaLink="$Q$55" lockText="1" noThreeD="1"/>
</file>

<file path=xl/ctrlProps/ctrlProp12.xml><?xml version="1.0" encoding="utf-8"?>
<formControlPr xmlns="http://schemas.microsoft.com/office/spreadsheetml/2009/9/main" objectType="CheckBox" fmlaLink="$R$55" lockText="1" noThreeD="1"/>
</file>

<file path=xl/ctrlProps/ctrlProp13.xml><?xml version="1.0" encoding="utf-8"?>
<formControlPr xmlns="http://schemas.microsoft.com/office/spreadsheetml/2009/9/main" objectType="CheckBox" fmlaLink="$Q$57" lockText="1" noThreeD="1"/>
</file>

<file path=xl/ctrlProps/ctrlProp14.xml><?xml version="1.0" encoding="utf-8"?>
<formControlPr xmlns="http://schemas.microsoft.com/office/spreadsheetml/2009/9/main" objectType="CheckBox" fmlaLink="$R$57" lockText="1" noThreeD="1"/>
</file>

<file path=xl/ctrlProps/ctrlProp15.xml><?xml version="1.0" encoding="utf-8"?>
<formControlPr xmlns="http://schemas.microsoft.com/office/spreadsheetml/2009/9/main" objectType="CheckBox" fmlaLink="$Q$58" lockText="1" noThreeD="1"/>
</file>

<file path=xl/ctrlProps/ctrlProp16.xml><?xml version="1.0" encoding="utf-8"?>
<formControlPr xmlns="http://schemas.microsoft.com/office/spreadsheetml/2009/9/main" objectType="CheckBox" fmlaLink="$R$58" lockText="1" noThreeD="1"/>
</file>

<file path=xl/ctrlProps/ctrlProp17.xml><?xml version="1.0" encoding="utf-8"?>
<formControlPr xmlns="http://schemas.microsoft.com/office/spreadsheetml/2009/9/main" objectType="CheckBox" fmlaLink="$Q$59" lockText="1" noThreeD="1"/>
</file>

<file path=xl/ctrlProps/ctrlProp18.xml><?xml version="1.0" encoding="utf-8"?>
<formControlPr xmlns="http://schemas.microsoft.com/office/spreadsheetml/2009/9/main" objectType="CheckBox" fmlaLink="$R$59" lockText="1" noThreeD="1"/>
</file>

<file path=xl/ctrlProps/ctrlProp19.xml><?xml version="1.0" encoding="utf-8"?>
<formControlPr xmlns="http://schemas.microsoft.com/office/spreadsheetml/2009/9/main" objectType="CheckBox" fmlaLink="$O$114" lockText="1" noThreeD="1"/>
</file>

<file path=xl/ctrlProps/ctrlProp2.xml><?xml version="1.0" encoding="utf-8"?>
<formControlPr xmlns="http://schemas.microsoft.com/office/spreadsheetml/2009/9/main" objectType="CheckBox" fmlaLink="$P$69" lockText="1" noThreeD="1"/>
</file>

<file path=xl/ctrlProps/ctrlProp20.xml><?xml version="1.0" encoding="utf-8"?>
<formControlPr xmlns="http://schemas.microsoft.com/office/spreadsheetml/2009/9/main" objectType="CheckBox" fmlaLink="$P$114" lockText="1" noThreeD="1"/>
</file>

<file path=xl/ctrlProps/ctrlProp21.xml><?xml version="1.0" encoding="utf-8"?>
<formControlPr xmlns="http://schemas.microsoft.com/office/spreadsheetml/2009/9/main" objectType="CheckBox" fmlaLink="$O$116" lockText="1" noThreeD="1"/>
</file>

<file path=xl/ctrlProps/ctrlProp22.xml><?xml version="1.0" encoding="utf-8"?>
<formControlPr xmlns="http://schemas.microsoft.com/office/spreadsheetml/2009/9/main" objectType="CheckBox" fmlaLink="$P$116" lockText="1" noThreeD="1"/>
</file>

<file path=xl/ctrlProps/ctrlProp23.xml><?xml version="1.0" encoding="utf-8"?>
<formControlPr xmlns="http://schemas.microsoft.com/office/spreadsheetml/2009/9/main" objectType="CheckBox" fmlaLink="$O$117" lockText="1" noThreeD="1"/>
</file>

<file path=xl/ctrlProps/ctrlProp24.xml><?xml version="1.0" encoding="utf-8"?>
<formControlPr xmlns="http://schemas.microsoft.com/office/spreadsheetml/2009/9/main" objectType="CheckBox" fmlaLink="$P$117" lockText="1" noThreeD="1"/>
</file>

<file path=xl/ctrlProps/ctrlProp25.xml><?xml version="1.0" encoding="utf-8"?>
<formControlPr xmlns="http://schemas.microsoft.com/office/spreadsheetml/2009/9/main" objectType="CheckBox" fmlaLink="Q114" lockText="1" noThreeD="1"/>
</file>

<file path=xl/ctrlProps/ctrlProp26.xml><?xml version="1.0" encoding="utf-8"?>
<formControlPr xmlns="http://schemas.microsoft.com/office/spreadsheetml/2009/9/main" objectType="CheckBox" fmlaLink="$R$114" lockText="1" noThreeD="1"/>
</file>

<file path=xl/ctrlProps/ctrlProp27.xml><?xml version="1.0" encoding="utf-8"?>
<formControlPr xmlns="http://schemas.microsoft.com/office/spreadsheetml/2009/9/main" objectType="CheckBox" fmlaLink="Q116" lockText="1" noThreeD="1"/>
</file>

<file path=xl/ctrlProps/ctrlProp28.xml><?xml version="1.0" encoding="utf-8"?>
<formControlPr xmlns="http://schemas.microsoft.com/office/spreadsheetml/2009/9/main" objectType="CheckBox" fmlaLink="$R$116" lockText="1" noThreeD="1"/>
</file>

<file path=xl/ctrlProps/ctrlProp29.xml><?xml version="1.0" encoding="utf-8"?>
<formControlPr xmlns="http://schemas.microsoft.com/office/spreadsheetml/2009/9/main" objectType="CheckBox" fmlaLink="Q117" lockText="1" noThreeD="1"/>
</file>

<file path=xl/ctrlProps/ctrlProp3.xml><?xml version="1.0" encoding="utf-8"?>
<formControlPr xmlns="http://schemas.microsoft.com/office/spreadsheetml/2009/9/main" objectType="CheckBox" fmlaLink="$O$70" lockText="1" noThreeD="1"/>
</file>

<file path=xl/ctrlProps/ctrlProp30.xml><?xml version="1.0" encoding="utf-8"?>
<formControlPr xmlns="http://schemas.microsoft.com/office/spreadsheetml/2009/9/main" objectType="CheckBox" fmlaLink="$R$117" lockText="1" noThreeD="1"/>
</file>

<file path=xl/ctrlProps/ctrlProp31.xml><?xml version="1.0" encoding="utf-8"?>
<formControlPr xmlns="http://schemas.microsoft.com/office/spreadsheetml/2009/9/main" objectType="CheckBox" fmlaLink="Q118" lockText="1" noThreeD="1"/>
</file>

<file path=xl/ctrlProps/ctrlProp32.xml><?xml version="1.0" encoding="utf-8"?>
<formControlPr xmlns="http://schemas.microsoft.com/office/spreadsheetml/2009/9/main" objectType="CheckBox" fmlaLink="$R$118" lockText="1" noThreeD="1"/>
</file>

<file path=xl/ctrlProps/ctrlProp33.xml><?xml version="1.0" encoding="utf-8"?>
<formControlPr xmlns="http://schemas.microsoft.com/office/spreadsheetml/2009/9/main" objectType="CheckBox" fmlaLink="P37" lockText="1" noThreeD="1"/>
</file>

<file path=xl/ctrlProps/ctrlProp34.xml><?xml version="1.0" encoding="utf-8"?>
<formControlPr xmlns="http://schemas.microsoft.com/office/spreadsheetml/2009/9/main" objectType="CheckBox" fmlaLink="P38" lockText="1" noThreeD="1"/>
</file>

<file path=xl/ctrlProps/ctrlProp35.xml><?xml version="1.0" encoding="utf-8"?>
<formControlPr xmlns="http://schemas.microsoft.com/office/spreadsheetml/2009/9/main" objectType="CheckBox" fmlaLink="Q37" lockText="1" noThreeD="1"/>
</file>

<file path=xl/ctrlProps/ctrlProp36.xml><?xml version="1.0" encoding="utf-8"?>
<formControlPr xmlns="http://schemas.microsoft.com/office/spreadsheetml/2009/9/main" objectType="CheckBox" fmlaLink="Q38" lockText="1" noThreeD="1"/>
</file>

<file path=xl/ctrlProps/ctrlProp37.xml><?xml version="1.0" encoding="utf-8"?>
<formControlPr xmlns="http://schemas.microsoft.com/office/spreadsheetml/2009/9/main" objectType="CheckBox" fmlaLink="P29" lockText="1" noThreeD="1"/>
</file>

<file path=xl/ctrlProps/ctrlProp38.xml><?xml version="1.0" encoding="utf-8"?>
<formControlPr xmlns="http://schemas.microsoft.com/office/spreadsheetml/2009/9/main" objectType="CheckBox" fmlaLink="Q29" lockText="1" noThreeD="1"/>
</file>

<file path=xl/ctrlProps/ctrlProp39.xml><?xml version="1.0" encoding="utf-8"?>
<formControlPr xmlns="http://schemas.microsoft.com/office/spreadsheetml/2009/9/main" objectType="CheckBox" fmlaLink="P19" lockText="1" noThreeD="1"/>
</file>

<file path=xl/ctrlProps/ctrlProp4.xml><?xml version="1.0" encoding="utf-8"?>
<formControlPr xmlns="http://schemas.microsoft.com/office/spreadsheetml/2009/9/main" objectType="CheckBox" fmlaLink="$P$70" lockText="1" noThreeD="1"/>
</file>

<file path=xl/ctrlProps/ctrlProp40.xml><?xml version="1.0" encoding="utf-8"?>
<formControlPr xmlns="http://schemas.microsoft.com/office/spreadsheetml/2009/9/main" objectType="CheckBox" fmlaLink="Q19" lockText="1" noThreeD="1"/>
</file>

<file path=xl/ctrlProps/ctrlProp41.xml><?xml version="1.0" encoding="utf-8"?>
<formControlPr xmlns="http://schemas.microsoft.com/office/spreadsheetml/2009/9/main" objectType="CheckBox" fmlaLink="P22" lockText="1" noThreeD="1"/>
</file>

<file path=xl/ctrlProps/ctrlProp42.xml><?xml version="1.0" encoding="utf-8"?>
<formControlPr xmlns="http://schemas.microsoft.com/office/spreadsheetml/2009/9/main" objectType="CheckBox" fmlaLink="Q22" lockText="1" noThreeD="1"/>
</file>

<file path=xl/ctrlProps/ctrlProp5.xml><?xml version="1.0" encoding="utf-8"?>
<formControlPr xmlns="http://schemas.microsoft.com/office/spreadsheetml/2009/9/main" objectType="CheckBox" fmlaLink="$O$55" lockText="1" noThreeD="1"/>
</file>

<file path=xl/ctrlProps/ctrlProp6.xml><?xml version="1.0" encoding="utf-8"?>
<formControlPr xmlns="http://schemas.microsoft.com/office/spreadsheetml/2009/9/main" objectType="CheckBox" fmlaLink="$P$55" lockText="1" noThreeD="1"/>
</file>

<file path=xl/ctrlProps/ctrlProp7.xml><?xml version="1.0" encoding="utf-8"?>
<formControlPr xmlns="http://schemas.microsoft.com/office/spreadsheetml/2009/9/main" objectType="CheckBox" fmlaLink="$O$57" lockText="1" noThreeD="1"/>
</file>

<file path=xl/ctrlProps/ctrlProp8.xml><?xml version="1.0" encoding="utf-8"?>
<formControlPr xmlns="http://schemas.microsoft.com/office/spreadsheetml/2009/9/main" objectType="CheckBox" fmlaLink="$P$57" lockText="1" noThreeD="1"/>
</file>

<file path=xl/ctrlProps/ctrlProp9.xml><?xml version="1.0" encoding="utf-8"?>
<formControlPr xmlns="http://schemas.microsoft.com/office/spreadsheetml/2009/9/main" objectType="CheckBox" fmlaLink="$O$58" lockText="1" noThreeD="1"/>
</file>

<file path=xl/diagrams/_rels/data1.xml.rels><?xml version="1.0" encoding="UTF-8" standalone="yes"?>
<Relationships xmlns="http://schemas.openxmlformats.org/package/2006/relationships"><Relationship Id="rId3" Type="http://schemas.openxmlformats.org/officeDocument/2006/relationships/hyperlink" Target="#Glossary!A1"/><Relationship Id="rId2" Type="http://schemas.openxmlformats.org/officeDocument/2006/relationships/hyperlink" Target="#'LOTUS Homes Scorecard'!A1"/><Relationship Id="rId1" Type="http://schemas.openxmlformats.org/officeDocument/2006/relationships/hyperlink" Target="#'Project information'!A1"/><Relationship Id="rId4" Type="http://schemas.openxmlformats.org/officeDocument/2006/relationships/hyperlink" Target="#'Application Form'!A1"/></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6FB4A36-E9C9-411A-98C6-F052B50A6EE5}" type="doc">
      <dgm:prSet loTypeId="urn:microsoft.com/office/officeart/2005/8/layout/list1" loCatId="list" qsTypeId="urn:microsoft.com/office/officeart/2005/8/quickstyle/simple1" qsCatId="simple" csTypeId="urn:microsoft.com/office/officeart/2005/8/colors/accent1_2" csCatId="accent1" phldr="1"/>
      <dgm:spPr/>
      <dgm:t>
        <a:bodyPr/>
        <a:lstStyle/>
        <a:p>
          <a:endParaRPr lang="en-US"/>
        </a:p>
      </dgm:t>
    </dgm:pt>
    <dgm:pt modelId="{18D65B10-0541-469E-A566-FFFF293F0913}">
      <dgm:prSet phldrT="[Text]" custT="1"/>
      <dgm:spPr>
        <a:solidFill>
          <a:srgbClr val="943634"/>
        </a:solidFill>
      </dgm:spPr>
      <dgm:t>
        <a:bodyPr/>
        <a:lstStyle/>
        <a:p>
          <a:r>
            <a:rPr lang="en-US" sz="1800"/>
            <a:t>Step 2: Project information</a:t>
          </a:r>
        </a:p>
      </dgm:t>
      <dgm:extLst>
        <a:ext uri="{E40237B7-FDA0-4F09-8148-C483321AD2D9}">
          <dgm14:cNvPr xmlns:dgm14="http://schemas.microsoft.com/office/drawing/2010/diagram" id="0" name="">
            <a:hlinkClick xmlns:r="http://schemas.openxmlformats.org/officeDocument/2006/relationships" r:id="rId1" tooltip="Project information"/>
          </dgm14:cNvPr>
        </a:ext>
      </dgm:extLst>
    </dgm:pt>
    <dgm:pt modelId="{73B31C1B-51AB-4698-ABB3-D29E62535BE1}" type="parTrans" cxnId="{57BEA81D-18E9-492C-8AA9-C253BEE739D4}">
      <dgm:prSet/>
      <dgm:spPr/>
      <dgm:t>
        <a:bodyPr/>
        <a:lstStyle/>
        <a:p>
          <a:endParaRPr lang="en-US"/>
        </a:p>
      </dgm:t>
    </dgm:pt>
    <dgm:pt modelId="{4159D29E-92E2-4E8F-A6BB-1A69F64C6C25}" type="sibTrans" cxnId="{57BEA81D-18E9-492C-8AA9-C253BEE739D4}">
      <dgm:prSet/>
      <dgm:spPr/>
      <dgm:t>
        <a:bodyPr/>
        <a:lstStyle/>
        <a:p>
          <a:endParaRPr lang="en-US"/>
        </a:p>
      </dgm:t>
    </dgm:pt>
    <dgm:pt modelId="{074F5F59-0629-4C17-A002-32A8FEBF23B6}">
      <dgm:prSet phldrT="[Text]" custT="1"/>
      <dgm:spPr>
        <a:solidFill>
          <a:srgbClr val="943634"/>
        </a:solidFill>
      </dgm:spPr>
      <dgm:t>
        <a:bodyPr/>
        <a:lstStyle/>
        <a:p>
          <a:r>
            <a:rPr lang="en-US" sz="1800"/>
            <a:t>Step 3: LOTUS Homes Scorecard</a:t>
          </a:r>
        </a:p>
      </dgm:t>
      <dgm:extLst>
        <a:ext uri="{E40237B7-FDA0-4F09-8148-C483321AD2D9}">
          <dgm14:cNvPr xmlns:dgm14="http://schemas.microsoft.com/office/drawing/2010/diagram" id="0" name="">
            <a:hlinkClick xmlns:r="http://schemas.openxmlformats.org/officeDocument/2006/relationships" r:id="rId2" tooltip="LOTUS Homes Scorecard"/>
          </dgm14:cNvPr>
        </a:ext>
      </dgm:extLst>
    </dgm:pt>
    <dgm:pt modelId="{EA729D0D-64F1-4A64-B6AC-685323C95660}" type="parTrans" cxnId="{17092A43-36D8-4F4D-8C67-6F080E46F118}">
      <dgm:prSet/>
      <dgm:spPr/>
      <dgm:t>
        <a:bodyPr/>
        <a:lstStyle/>
        <a:p>
          <a:endParaRPr lang="en-US"/>
        </a:p>
      </dgm:t>
    </dgm:pt>
    <dgm:pt modelId="{8126839F-1087-4495-BB68-EB154FF604FB}" type="sibTrans" cxnId="{17092A43-36D8-4F4D-8C67-6F080E46F118}">
      <dgm:prSet/>
      <dgm:spPr/>
      <dgm:t>
        <a:bodyPr/>
        <a:lstStyle/>
        <a:p>
          <a:endParaRPr lang="en-US"/>
        </a:p>
      </dgm:t>
    </dgm:pt>
    <dgm:pt modelId="{4F74EB52-93B6-4E1E-9DEB-9283C317DF3D}">
      <dgm:prSet custT="1"/>
      <dgm:spPr>
        <a:solidFill>
          <a:schemeClr val="bg1">
            <a:lumMod val="85000"/>
            <a:alpha val="90000"/>
          </a:schemeClr>
        </a:solidFill>
        <a:ln>
          <a:solidFill>
            <a:schemeClr val="bg1"/>
          </a:solidFill>
        </a:ln>
      </dgm:spPr>
      <dgm:t>
        <a:bodyPr anchor="ctr"/>
        <a:lstStyle/>
        <a:p>
          <a:r>
            <a:rPr lang="en-US" sz="1200"/>
            <a:t>Complete the sheet with General Information on the project</a:t>
          </a:r>
        </a:p>
      </dgm:t>
    </dgm:pt>
    <dgm:pt modelId="{0E8A06C5-C6D2-4D79-AF07-9A48CD83D867}" type="parTrans" cxnId="{924F4586-9D8E-4FAA-A727-E63B41A43C79}">
      <dgm:prSet/>
      <dgm:spPr/>
      <dgm:t>
        <a:bodyPr/>
        <a:lstStyle/>
        <a:p>
          <a:endParaRPr lang="en-US"/>
        </a:p>
      </dgm:t>
    </dgm:pt>
    <dgm:pt modelId="{FB2BFFEF-2B78-46B5-9A1D-AAB04B8E4A6A}" type="sibTrans" cxnId="{924F4586-9D8E-4FAA-A727-E63B41A43C79}">
      <dgm:prSet/>
      <dgm:spPr/>
      <dgm:t>
        <a:bodyPr/>
        <a:lstStyle/>
        <a:p>
          <a:endParaRPr lang="en-US"/>
        </a:p>
      </dgm:t>
    </dgm:pt>
    <dgm:pt modelId="{0D399A1C-E58E-4463-B549-BD34B6B471F7}">
      <dgm:prSet custT="1"/>
      <dgm:spPr>
        <a:solidFill>
          <a:schemeClr val="bg1">
            <a:lumMod val="85000"/>
            <a:alpha val="90000"/>
          </a:schemeClr>
        </a:solidFill>
        <a:ln>
          <a:solidFill>
            <a:schemeClr val="bg1"/>
          </a:solidFill>
        </a:ln>
      </dgm:spPr>
      <dgm:t>
        <a:bodyPr anchor="ctr"/>
        <a:lstStyle/>
        <a:p>
          <a:r>
            <a:rPr lang="en-US" sz="1200"/>
            <a:t>The LOTUS Homes Scorecard is the main sheet of the User Tool where results are gathered.</a:t>
          </a:r>
        </a:p>
      </dgm:t>
    </dgm:pt>
    <dgm:pt modelId="{082ECF45-A5BB-42FA-8593-5D92A458C8F4}" type="parTrans" cxnId="{846B9D77-5952-4A78-BFC5-86211684DB02}">
      <dgm:prSet/>
      <dgm:spPr/>
      <dgm:t>
        <a:bodyPr/>
        <a:lstStyle/>
        <a:p>
          <a:endParaRPr lang="en-US"/>
        </a:p>
      </dgm:t>
    </dgm:pt>
    <dgm:pt modelId="{5B05C06C-F215-4806-B1EC-8D75786AD2F9}" type="sibTrans" cxnId="{846B9D77-5952-4A78-BFC5-86211684DB02}">
      <dgm:prSet/>
      <dgm:spPr/>
      <dgm:t>
        <a:bodyPr/>
        <a:lstStyle/>
        <a:p>
          <a:endParaRPr lang="en-US"/>
        </a:p>
      </dgm:t>
    </dgm:pt>
    <dgm:pt modelId="{4B3F0A15-1DEB-4185-93B6-EE16AB1BF4B8}">
      <dgm:prSet custT="1"/>
      <dgm:spPr>
        <a:solidFill>
          <a:srgbClr val="943634"/>
        </a:solidFill>
      </dgm:spPr>
      <dgm:t>
        <a:bodyPr/>
        <a:lstStyle/>
        <a:p>
          <a:r>
            <a:rPr lang="en-US" sz="1800"/>
            <a:t>Step 4: Category sheets</a:t>
          </a:r>
        </a:p>
      </dgm:t>
    </dgm:pt>
    <dgm:pt modelId="{07BAC280-92F1-4A57-A13F-1602EE1D1C00}" type="parTrans" cxnId="{E8C2F9A1-B1F6-41F1-A95C-BA15858B7030}">
      <dgm:prSet/>
      <dgm:spPr/>
      <dgm:t>
        <a:bodyPr/>
        <a:lstStyle/>
        <a:p>
          <a:endParaRPr lang="en-US"/>
        </a:p>
      </dgm:t>
    </dgm:pt>
    <dgm:pt modelId="{FF58AA89-99F2-431B-B640-036822104D50}" type="sibTrans" cxnId="{E8C2F9A1-B1F6-41F1-A95C-BA15858B7030}">
      <dgm:prSet/>
      <dgm:spPr/>
      <dgm:t>
        <a:bodyPr/>
        <a:lstStyle/>
        <a:p>
          <a:endParaRPr lang="en-US"/>
        </a:p>
      </dgm:t>
    </dgm:pt>
    <dgm:pt modelId="{F9083E11-4F71-4BBD-9780-F0DC4A6332F0}">
      <dgm:prSet custT="1"/>
      <dgm:spPr>
        <a:solidFill>
          <a:schemeClr val="bg1">
            <a:lumMod val="85000"/>
            <a:alpha val="90000"/>
          </a:schemeClr>
        </a:solidFill>
        <a:ln>
          <a:solidFill>
            <a:schemeClr val="bg1"/>
          </a:solidFill>
        </a:ln>
      </dgm:spPr>
      <dgm:t>
        <a:bodyPr anchor="ctr"/>
        <a:lstStyle/>
        <a:p>
          <a:r>
            <a:rPr lang="en-US" sz="1200"/>
            <a:t>The Scorecard is filled automatically as the user provides information in the light red cells of the credit sheets.</a:t>
          </a:r>
        </a:p>
      </dgm:t>
    </dgm:pt>
    <dgm:pt modelId="{9AFB5AFF-07CA-4691-8F15-DEF8F3D2A581}" type="parTrans" cxnId="{EEC180CD-BB18-44CD-8D76-A5923FCB6C36}">
      <dgm:prSet/>
      <dgm:spPr/>
      <dgm:t>
        <a:bodyPr/>
        <a:lstStyle/>
        <a:p>
          <a:endParaRPr lang="en-US"/>
        </a:p>
      </dgm:t>
    </dgm:pt>
    <dgm:pt modelId="{7352A9BC-DDDB-46C3-BB74-0C96690F288D}" type="sibTrans" cxnId="{EEC180CD-BB18-44CD-8D76-A5923FCB6C36}">
      <dgm:prSet/>
      <dgm:spPr/>
      <dgm:t>
        <a:bodyPr/>
        <a:lstStyle/>
        <a:p>
          <a:endParaRPr lang="en-US"/>
        </a:p>
      </dgm:t>
    </dgm:pt>
    <dgm:pt modelId="{92A00790-3DFA-4E6E-BC10-BDA978B40879}">
      <dgm:prSet custT="1"/>
      <dgm:spPr>
        <a:solidFill>
          <a:srgbClr val="943634"/>
        </a:solidFill>
      </dgm:spPr>
      <dgm:t>
        <a:bodyPr/>
        <a:lstStyle/>
        <a:p>
          <a:r>
            <a:rPr lang="en-US" sz="1800"/>
            <a:t>Step 5: Credit sheets</a:t>
          </a:r>
        </a:p>
      </dgm:t>
    </dgm:pt>
    <dgm:pt modelId="{13CDDFCB-0CEB-4930-B756-22586CF79C5F}" type="parTrans" cxnId="{12352FA8-3538-4204-8AF4-325CB45DCAEE}">
      <dgm:prSet/>
      <dgm:spPr/>
      <dgm:t>
        <a:bodyPr/>
        <a:lstStyle/>
        <a:p>
          <a:endParaRPr lang="en-US"/>
        </a:p>
      </dgm:t>
    </dgm:pt>
    <dgm:pt modelId="{4334B1E6-1464-47C4-874E-BE1350ED802E}" type="sibTrans" cxnId="{12352FA8-3538-4204-8AF4-325CB45DCAEE}">
      <dgm:prSet/>
      <dgm:spPr/>
      <dgm:t>
        <a:bodyPr/>
        <a:lstStyle/>
        <a:p>
          <a:endParaRPr lang="en-US"/>
        </a:p>
      </dgm:t>
    </dgm:pt>
    <dgm:pt modelId="{1BF5AD01-5090-42C6-BBBD-84295ACD538D}">
      <dgm:prSet custT="1"/>
      <dgm:spPr>
        <a:solidFill>
          <a:schemeClr val="bg1">
            <a:lumMod val="85000"/>
            <a:alpha val="90000"/>
          </a:schemeClr>
        </a:solidFill>
        <a:ln>
          <a:solidFill>
            <a:schemeClr val="bg1"/>
          </a:solidFill>
        </a:ln>
      </dgm:spPr>
      <dgm:t>
        <a:bodyPr anchor="ctr"/>
        <a:lstStyle/>
        <a:p>
          <a:r>
            <a:rPr lang="en-US" sz="1200"/>
            <a:t>There is a main spreadsheet for each category providing an overview (list of credits and points available) of the category</a:t>
          </a:r>
        </a:p>
      </dgm:t>
    </dgm:pt>
    <dgm:pt modelId="{632E0C4A-8035-4A3B-B964-9A51EDD98AC3}" type="parTrans" cxnId="{3F4C7B3C-0112-49A8-8AF5-D0381F846010}">
      <dgm:prSet/>
      <dgm:spPr/>
      <dgm:t>
        <a:bodyPr/>
        <a:lstStyle/>
        <a:p>
          <a:endParaRPr lang="en-US"/>
        </a:p>
      </dgm:t>
    </dgm:pt>
    <dgm:pt modelId="{94C89C27-CB78-47B6-A248-02F63054822D}" type="sibTrans" cxnId="{3F4C7B3C-0112-49A8-8AF5-D0381F846010}">
      <dgm:prSet/>
      <dgm:spPr/>
      <dgm:t>
        <a:bodyPr/>
        <a:lstStyle/>
        <a:p>
          <a:endParaRPr lang="en-US"/>
        </a:p>
      </dgm:t>
    </dgm:pt>
    <dgm:pt modelId="{CCB44C10-8484-49B5-9D63-F8C42A34F805}">
      <dgm:prSet custT="1"/>
      <dgm:spPr>
        <a:solidFill>
          <a:schemeClr val="bg1">
            <a:lumMod val="85000"/>
            <a:alpha val="90000"/>
          </a:schemeClr>
        </a:solidFill>
        <a:ln>
          <a:solidFill>
            <a:schemeClr val="bg1"/>
          </a:solidFill>
        </a:ln>
      </dgm:spPr>
      <dgm:t>
        <a:bodyPr anchor="ctr"/>
        <a:lstStyle/>
        <a:p>
          <a:r>
            <a:rPr lang="en-US" sz="1200"/>
            <a:t>Navigate to the different categories by clicking on the appropriate images. </a:t>
          </a:r>
        </a:p>
      </dgm:t>
    </dgm:pt>
    <dgm:pt modelId="{E75A36B1-9B85-4D71-94A6-9C7BF1DB83AF}" type="parTrans" cxnId="{F7E10F02-DA45-4399-B590-ABE8049B9B66}">
      <dgm:prSet/>
      <dgm:spPr/>
      <dgm:t>
        <a:bodyPr/>
        <a:lstStyle/>
        <a:p>
          <a:endParaRPr lang="en-US"/>
        </a:p>
      </dgm:t>
    </dgm:pt>
    <dgm:pt modelId="{2006DA99-A2CD-4969-B108-6C2C59B35EB5}" type="sibTrans" cxnId="{F7E10F02-DA45-4399-B590-ABE8049B9B66}">
      <dgm:prSet/>
      <dgm:spPr/>
      <dgm:t>
        <a:bodyPr/>
        <a:lstStyle/>
        <a:p>
          <a:endParaRPr lang="en-US"/>
        </a:p>
      </dgm:t>
    </dgm:pt>
    <dgm:pt modelId="{041F61BF-7B3B-4397-B670-344F6010729E}">
      <dgm:prSet custT="1"/>
      <dgm:spPr>
        <a:solidFill>
          <a:schemeClr val="bg1">
            <a:lumMod val="85000"/>
            <a:alpha val="90000"/>
          </a:schemeClr>
        </a:solidFill>
        <a:ln>
          <a:solidFill>
            <a:schemeClr val="bg1"/>
          </a:solidFill>
        </a:ln>
      </dgm:spPr>
      <dgm:t>
        <a:bodyPr anchor="ctr"/>
        <a:lstStyle/>
        <a:p>
          <a:r>
            <a:rPr lang="en-US" sz="1200"/>
            <a:t>There is a separate spreadsheet for each LOTUS Homes credit.</a:t>
          </a:r>
        </a:p>
      </dgm:t>
    </dgm:pt>
    <dgm:pt modelId="{2E1989B4-05DF-4D4F-A275-C7D2ADE90B0C}" type="parTrans" cxnId="{A8F53310-FD93-4D6D-81E9-5637C5E70B5F}">
      <dgm:prSet/>
      <dgm:spPr/>
      <dgm:t>
        <a:bodyPr/>
        <a:lstStyle/>
        <a:p>
          <a:endParaRPr lang="en-US"/>
        </a:p>
      </dgm:t>
    </dgm:pt>
    <dgm:pt modelId="{690CF9C6-C937-467E-8E2F-619DA26D4169}" type="sibTrans" cxnId="{A8F53310-FD93-4D6D-81E9-5637C5E70B5F}">
      <dgm:prSet/>
      <dgm:spPr/>
      <dgm:t>
        <a:bodyPr/>
        <a:lstStyle/>
        <a:p>
          <a:endParaRPr lang="en-US"/>
        </a:p>
      </dgm:t>
    </dgm:pt>
    <dgm:pt modelId="{6D402FEA-C63C-4E7D-B5CD-1217D9D16F5E}">
      <dgm:prSet custT="1"/>
      <dgm:spPr>
        <a:solidFill>
          <a:schemeClr val="bg1">
            <a:lumMod val="85000"/>
            <a:alpha val="90000"/>
          </a:schemeClr>
        </a:solidFill>
        <a:ln>
          <a:solidFill>
            <a:schemeClr val="bg1"/>
          </a:solidFill>
        </a:ln>
      </dgm:spPr>
      <dgm:t>
        <a:bodyPr anchor="ctr"/>
        <a:lstStyle/>
        <a:p>
          <a:r>
            <a:rPr lang="en-US" sz="1200"/>
            <a:t>This sheet provides the key information and instructions for the credit.</a:t>
          </a:r>
        </a:p>
      </dgm:t>
    </dgm:pt>
    <dgm:pt modelId="{8FEFB342-C940-42B2-9F9B-0C63D1E43BE2}" type="parTrans" cxnId="{32CFB27B-63A9-4587-9482-EE02698E6B6C}">
      <dgm:prSet/>
      <dgm:spPr/>
      <dgm:t>
        <a:bodyPr/>
        <a:lstStyle/>
        <a:p>
          <a:endParaRPr lang="en-US"/>
        </a:p>
      </dgm:t>
    </dgm:pt>
    <dgm:pt modelId="{9FD4F6FB-3DD3-4604-92A7-BC980AC6F9F9}" type="sibTrans" cxnId="{32CFB27B-63A9-4587-9482-EE02698E6B6C}">
      <dgm:prSet/>
      <dgm:spPr/>
      <dgm:t>
        <a:bodyPr/>
        <a:lstStyle/>
        <a:p>
          <a:endParaRPr lang="en-US"/>
        </a:p>
      </dgm:t>
    </dgm:pt>
    <dgm:pt modelId="{9150FDA9-2F77-4BB9-B28A-6E602E87AC97}">
      <dgm:prSet custT="1"/>
      <dgm:spPr>
        <a:solidFill>
          <a:schemeClr val="bg1">
            <a:lumMod val="85000"/>
            <a:alpha val="90000"/>
          </a:schemeClr>
        </a:solidFill>
        <a:ln>
          <a:solidFill>
            <a:schemeClr val="bg1"/>
          </a:solidFill>
        </a:ln>
      </dgm:spPr>
      <dgm:t>
        <a:bodyPr anchor="ctr"/>
        <a:lstStyle/>
        <a:p>
          <a:r>
            <a:rPr lang="en-US" sz="1200"/>
            <a:t>Read the contents of the credit sheet carefully and fill in appropriate information in the light-red coloured cells.</a:t>
          </a:r>
        </a:p>
      </dgm:t>
    </dgm:pt>
    <dgm:pt modelId="{0166B149-2F47-43BD-86D8-048B99C13DDE}" type="parTrans" cxnId="{16F0B77C-8072-46E1-AA2D-8FD1FA206DBC}">
      <dgm:prSet/>
      <dgm:spPr/>
      <dgm:t>
        <a:bodyPr/>
        <a:lstStyle/>
        <a:p>
          <a:endParaRPr lang="en-US"/>
        </a:p>
      </dgm:t>
    </dgm:pt>
    <dgm:pt modelId="{377E61AC-A2A0-447D-B264-CC2DC007225C}" type="sibTrans" cxnId="{16F0B77C-8072-46E1-AA2D-8FD1FA206DBC}">
      <dgm:prSet/>
      <dgm:spPr/>
      <dgm:t>
        <a:bodyPr/>
        <a:lstStyle/>
        <a:p>
          <a:endParaRPr lang="en-US"/>
        </a:p>
      </dgm:t>
    </dgm:pt>
    <dgm:pt modelId="{BCE2399F-31FE-4581-BB04-2BC7971A29FA}">
      <dgm:prSet custT="1"/>
      <dgm:spPr>
        <a:solidFill>
          <a:schemeClr val="bg1">
            <a:lumMod val="85000"/>
            <a:alpha val="90000"/>
          </a:schemeClr>
        </a:solidFill>
        <a:ln>
          <a:solidFill>
            <a:schemeClr val="bg1"/>
          </a:solidFill>
        </a:ln>
      </dgm:spPr>
      <dgm:t>
        <a:bodyPr anchor="ctr"/>
        <a:lstStyle/>
        <a:p>
          <a:r>
            <a:rPr lang="en-US" sz="1200"/>
            <a:t>The User Tool will automatically perform all the calculations and provide the results.</a:t>
          </a:r>
        </a:p>
      </dgm:t>
    </dgm:pt>
    <dgm:pt modelId="{5BDF5EC1-430B-4386-A97C-556D59DB2D1E}" type="parTrans" cxnId="{33278FFF-AA74-48E4-BA6D-B9AFBD8972AA}">
      <dgm:prSet/>
      <dgm:spPr/>
      <dgm:t>
        <a:bodyPr/>
        <a:lstStyle/>
        <a:p>
          <a:endParaRPr lang="en-US"/>
        </a:p>
      </dgm:t>
    </dgm:pt>
    <dgm:pt modelId="{076377FC-2A86-4C3B-AE8A-404FB0FE210B}" type="sibTrans" cxnId="{33278FFF-AA74-48E4-BA6D-B9AFBD8972AA}">
      <dgm:prSet/>
      <dgm:spPr/>
      <dgm:t>
        <a:bodyPr/>
        <a:lstStyle/>
        <a:p>
          <a:endParaRPr lang="en-US"/>
        </a:p>
      </dgm:t>
    </dgm:pt>
    <dgm:pt modelId="{FDA0AB67-BCCF-4A0E-AF5E-FB1568A34CF8}">
      <dgm:prSet custT="1"/>
      <dgm:spPr>
        <a:solidFill>
          <a:srgbClr val="943634"/>
        </a:solidFill>
      </dgm:spPr>
      <dgm:t>
        <a:bodyPr/>
        <a:lstStyle/>
        <a:p>
          <a:r>
            <a:rPr lang="en-US" sz="1800"/>
            <a:t>Step 6: Submission Checklists</a:t>
          </a:r>
        </a:p>
      </dgm:t>
    </dgm:pt>
    <dgm:pt modelId="{2532122A-DC88-4ADB-AC46-F1F55A899308}" type="parTrans" cxnId="{7379B579-C026-49D7-BD0E-AC2938EE2628}">
      <dgm:prSet/>
      <dgm:spPr/>
      <dgm:t>
        <a:bodyPr/>
        <a:lstStyle/>
        <a:p>
          <a:endParaRPr lang="en-US"/>
        </a:p>
      </dgm:t>
    </dgm:pt>
    <dgm:pt modelId="{533F2383-7CC8-4BE1-BCCD-D4EEE2231453}" type="sibTrans" cxnId="{7379B579-C026-49D7-BD0E-AC2938EE2628}">
      <dgm:prSet/>
      <dgm:spPr/>
      <dgm:t>
        <a:bodyPr/>
        <a:lstStyle/>
        <a:p>
          <a:endParaRPr lang="en-US"/>
        </a:p>
      </dgm:t>
    </dgm:pt>
    <dgm:pt modelId="{183105BE-DA41-498F-B03E-FD77A90383CC}">
      <dgm:prSet custT="1"/>
      <dgm:spPr>
        <a:solidFill>
          <a:schemeClr val="bg1">
            <a:lumMod val="85000"/>
            <a:alpha val="90000"/>
          </a:schemeClr>
        </a:solidFill>
        <a:ln>
          <a:solidFill>
            <a:schemeClr val="bg1"/>
          </a:solidFill>
        </a:ln>
      </dgm:spPr>
      <dgm:t>
        <a:bodyPr anchor="t"/>
        <a:lstStyle/>
        <a:p>
          <a:r>
            <a:rPr lang="en-US" sz="1200"/>
            <a:t>Refer to the 2 sheets 'Pre-assessment checklist' and 'Certification stage checklist ' for a list of mandatory requirements before making submissions for pre-assessment stage and certification stage</a:t>
          </a:r>
        </a:p>
      </dgm:t>
    </dgm:pt>
    <dgm:pt modelId="{CC6D3595-8F6F-4A3D-B726-CBBC427658FD}" type="parTrans" cxnId="{08BD3635-675E-4584-AB3A-AB791F0FF583}">
      <dgm:prSet/>
      <dgm:spPr/>
      <dgm:t>
        <a:bodyPr/>
        <a:lstStyle/>
        <a:p>
          <a:endParaRPr lang="en-US"/>
        </a:p>
      </dgm:t>
    </dgm:pt>
    <dgm:pt modelId="{843C0F15-D565-4A65-97A8-58E708213DD7}" type="sibTrans" cxnId="{08BD3635-675E-4584-AB3A-AB791F0FF583}">
      <dgm:prSet/>
      <dgm:spPr/>
      <dgm:t>
        <a:bodyPr/>
        <a:lstStyle/>
        <a:p>
          <a:endParaRPr lang="en-US"/>
        </a:p>
      </dgm:t>
    </dgm:pt>
    <dgm:pt modelId="{190B9E62-EAE9-4D69-B816-7AC0F880251E}">
      <dgm:prSet custT="1"/>
      <dgm:spPr>
        <a:solidFill>
          <a:schemeClr val="bg1">
            <a:lumMod val="85000"/>
            <a:alpha val="90000"/>
          </a:schemeClr>
        </a:solidFill>
        <a:ln>
          <a:solidFill>
            <a:schemeClr val="bg1"/>
          </a:solidFill>
        </a:ln>
      </dgm:spPr>
      <dgm:t>
        <a:bodyPr anchor="t"/>
        <a:lstStyle/>
        <a:p>
          <a:endParaRPr lang="en-US" sz="1200"/>
        </a:p>
      </dgm:t>
    </dgm:pt>
    <dgm:pt modelId="{6C86B2D4-01CA-4B0C-88A9-9D9420A88361}" type="parTrans" cxnId="{38746F03-C6A9-46EA-AB47-4850EB6933CB}">
      <dgm:prSet/>
      <dgm:spPr/>
      <dgm:t>
        <a:bodyPr/>
        <a:lstStyle/>
        <a:p>
          <a:endParaRPr lang="en-US"/>
        </a:p>
      </dgm:t>
    </dgm:pt>
    <dgm:pt modelId="{9501B2D3-1715-4458-B659-0005643D2746}" type="sibTrans" cxnId="{38746F03-C6A9-46EA-AB47-4850EB6933CB}">
      <dgm:prSet/>
      <dgm:spPr/>
      <dgm:t>
        <a:bodyPr/>
        <a:lstStyle/>
        <a:p>
          <a:endParaRPr lang="en-US"/>
        </a:p>
      </dgm:t>
    </dgm:pt>
    <dgm:pt modelId="{CD363F13-4C4E-4A07-BE6F-AA7AE79DBF0B}">
      <dgm:prSet custT="1"/>
      <dgm:spPr>
        <a:solidFill>
          <a:schemeClr val="bg1">
            <a:lumMod val="85000"/>
            <a:alpha val="90000"/>
          </a:schemeClr>
        </a:solidFill>
        <a:ln>
          <a:solidFill>
            <a:schemeClr val="bg1"/>
          </a:solidFill>
        </a:ln>
      </dgm:spPr>
      <dgm:t>
        <a:bodyPr anchor="ctr"/>
        <a:lstStyle/>
        <a:p>
          <a:r>
            <a:rPr lang="en-US" sz="1200"/>
            <a:t>Select the current Submission stage of the project between Pre-assessment stage and Certification stage</a:t>
          </a:r>
        </a:p>
      </dgm:t>
    </dgm:pt>
    <dgm:pt modelId="{B069EE1D-8642-47EC-9AFE-556922E030ED}" type="parTrans" cxnId="{57B10671-564E-4D17-ACE2-37880F34BF4E}">
      <dgm:prSet/>
      <dgm:spPr/>
      <dgm:t>
        <a:bodyPr/>
        <a:lstStyle/>
        <a:p>
          <a:endParaRPr lang="en-US"/>
        </a:p>
      </dgm:t>
    </dgm:pt>
    <dgm:pt modelId="{FEE00A98-BB30-449E-A107-95450D7A8874}" type="sibTrans" cxnId="{57B10671-564E-4D17-ACE2-37880F34BF4E}">
      <dgm:prSet/>
      <dgm:spPr/>
      <dgm:t>
        <a:bodyPr/>
        <a:lstStyle/>
        <a:p>
          <a:endParaRPr lang="en-US"/>
        </a:p>
      </dgm:t>
    </dgm:pt>
    <dgm:pt modelId="{095D0AC1-B91C-498A-96D4-2FE32E865267}">
      <dgm:prSet custT="1"/>
      <dgm:spPr>
        <a:solidFill>
          <a:schemeClr val="bg1">
            <a:lumMod val="85000"/>
            <a:alpha val="90000"/>
          </a:schemeClr>
        </a:solidFill>
        <a:ln>
          <a:solidFill>
            <a:schemeClr val="bg1"/>
          </a:solidFill>
        </a:ln>
      </dgm:spPr>
      <dgm:t>
        <a:bodyPr anchor="ctr"/>
        <a:lstStyle/>
        <a:p>
          <a:r>
            <a:rPr lang="en-US" sz="1200"/>
            <a:t>Navigate to the different credits of each category from these spreadsheets.</a:t>
          </a:r>
        </a:p>
      </dgm:t>
    </dgm:pt>
    <dgm:pt modelId="{130DCD0C-439A-413E-9E26-568CAB1A4733}" type="parTrans" cxnId="{5A04D568-7717-4069-A7C3-9C5F0CD6F1F8}">
      <dgm:prSet/>
      <dgm:spPr/>
      <dgm:t>
        <a:bodyPr/>
        <a:lstStyle/>
        <a:p>
          <a:endParaRPr lang="en-US"/>
        </a:p>
      </dgm:t>
    </dgm:pt>
    <dgm:pt modelId="{C88632EE-1CF1-486F-B9C6-DF591AF3AF66}" type="sibTrans" cxnId="{5A04D568-7717-4069-A7C3-9C5F0CD6F1F8}">
      <dgm:prSet/>
      <dgm:spPr/>
      <dgm:t>
        <a:bodyPr/>
        <a:lstStyle/>
        <a:p>
          <a:endParaRPr lang="en-US"/>
        </a:p>
      </dgm:t>
    </dgm:pt>
    <dgm:pt modelId="{B4223EA0-F374-465A-988B-39F9D85D92BB}">
      <dgm:prSet custT="1"/>
      <dgm:spPr>
        <a:solidFill>
          <a:srgbClr val="943634"/>
        </a:solidFill>
      </dgm:spPr>
      <dgm:t>
        <a:bodyPr/>
        <a:lstStyle/>
        <a:p>
          <a:r>
            <a:rPr lang="en-US" sz="1800"/>
            <a:t>Step 7: Glossary and Resources</a:t>
          </a:r>
        </a:p>
      </dgm:t>
      <dgm:extLst>
        <a:ext uri="{E40237B7-FDA0-4F09-8148-C483321AD2D9}">
          <dgm14:cNvPr xmlns:dgm14="http://schemas.microsoft.com/office/drawing/2010/diagram" id="0" name="">
            <a:hlinkClick xmlns:r="http://schemas.openxmlformats.org/officeDocument/2006/relationships" r:id="rId3" tooltip="Glossary"/>
          </dgm14:cNvPr>
        </a:ext>
      </dgm:extLst>
    </dgm:pt>
    <dgm:pt modelId="{7151A66E-33BD-4C96-8273-C02FA4834330}" type="parTrans" cxnId="{3FA5AC5F-5A04-4CFA-B881-E8D66BE1750B}">
      <dgm:prSet/>
      <dgm:spPr/>
      <dgm:t>
        <a:bodyPr/>
        <a:lstStyle/>
        <a:p>
          <a:endParaRPr lang="en-US"/>
        </a:p>
      </dgm:t>
    </dgm:pt>
    <dgm:pt modelId="{05F8F0A6-FA46-414A-86B4-4BED3DEE3A70}" type="sibTrans" cxnId="{3FA5AC5F-5A04-4CFA-B881-E8D66BE1750B}">
      <dgm:prSet/>
      <dgm:spPr/>
      <dgm:t>
        <a:bodyPr/>
        <a:lstStyle/>
        <a:p>
          <a:endParaRPr lang="en-US"/>
        </a:p>
      </dgm:t>
    </dgm:pt>
    <dgm:pt modelId="{A8CAF16D-B2F3-4285-9F9C-A26B4E437782}">
      <dgm:prSet custT="1"/>
      <dgm:spPr>
        <a:solidFill>
          <a:schemeClr val="bg1">
            <a:lumMod val="85000"/>
            <a:alpha val="90000"/>
          </a:schemeClr>
        </a:solidFill>
        <a:ln>
          <a:noFill/>
        </a:ln>
      </dgm:spPr>
      <dgm:t>
        <a:bodyPr anchor="ctr"/>
        <a:lstStyle/>
        <a:p>
          <a:pPr>
            <a:lnSpc>
              <a:spcPct val="90000"/>
            </a:lnSpc>
            <a:spcAft>
              <a:spcPct val="15000"/>
            </a:spcAft>
          </a:pPr>
          <a:r>
            <a:rPr lang="en-US" sz="1200"/>
            <a:t>The Glossary sheet defines all the important terms necessary to follow LOTUS Homes Certification.</a:t>
          </a:r>
        </a:p>
      </dgm:t>
    </dgm:pt>
    <dgm:pt modelId="{F27F26FF-7C2B-4532-ADBD-901D97F56755}" type="parTrans" cxnId="{36DB6256-6228-482D-8F0A-A810C5ACC969}">
      <dgm:prSet/>
      <dgm:spPr/>
      <dgm:t>
        <a:bodyPr/>
        <a:lstStyle/>
        <a:p>
          <a:endParaRPr lang="en-US"/>
        </a:p>
      </dgm:t>
    </dgm:pt>
    <dgm:pt modelId="{F2A8DE4D-3C08-4FB6-8EBC-0DC0CE7B5F11}" type="sibTrans" cxnId="{36DB6256-6228-482D-8F0A-A810C5ACC969}">
      <dgm:prSet/>
      <dgm:spPr/>
      <dgm:t>
        <a:bodyPr/>
        <a:lstStyle/>
        <a:p>
          <a:endParaRPr lang="en-US"/>
        </a:p>
      </dgm:t>
    </dgm:pt>
    <dgm:pt modelId="{D5BD095E-10DC-4E7B-B957-5A0F5D949E72}">
      <dgm:prSet custT="1"/>
      <dgm:spPr>
        <a:solidFill>
          <a:schemeClr val="bg1">
            <a:lumMod val="85000"/>
            <a:alpha val="90000"/>
          </a:schemeClr>
        </a:solidFill>
        <a:ln>
          <a:noFill/>
        </a:ln>
      </dgm:spPr>
      <dgm:t>
        <a:bodyPr anchor="ctr"/>
        <a:lstStyle/>
        <a:p>
          <a:pPr>
            <a:lnSpc>
              <a:spcPct val="100000"/>
            </a:lnSpc>
            <a:spcAft>
              <a:spcPts val="0"/>
            </a:spcAft>
          </a:pPr>
          <a:r>
            <a:rPr lang="en-US" sz="1200"/>
            <a:t>The Resources sheet contains further guidance and information on some credits.</a:t>
          </a:r>
        </a:p>
      </dgm:t>
    </dgm:pt>
    <dgm:pt modelId="{CA3D530F-F67F-4610-BE8F-C6F6FDE863D1}" type="parTrans" cxnId="{793AF22D-CDD1-45D0-9571-198E6E1C569A}">
      <dgm:prSet/>
      <dgm:spPr/>
      <dgm:t>
        <a:bodyPr/>
        <a:lstStyle/>
        <a:p>
          <a:endParaRPr lang="en-US"/>
        </a:p>
      </dgm:t>
    </dgm:pt>
    <dgm:pt modelId="{F290B284-7224-40F2-970D-5695988EAE3B}" type="sibTrans" cxnId="{793AF22D-CDD1-45D0-9571-198E6E1C569A}">
      <dgm:prSet/>
      <dgm:spPr/>
      <dgm:t>
        <a:bodyPr/>
        <a:lstStyle/>
        <a:p>
          <a:endParaRPr lang="en-US"/>
        </a:p>
      </dgm:t>
    </dgm:pt>
    <dgm:pt modelId="{F842C0D3-1FEE-43CF-92FD-7B6540B2289B}">
      <dgm:prSet phldrT="[Text]" custT="1"/>
      <dgm:spPr>
        <a:solidFill>
          <a:srgbClr val="943634"/>
        </a:solidFill>
      </dgm:spPr>
      <dgm:t>
        <a:bodyPr/>
        <a:lstStyle/>
        <a:p>
          <a:r>
            <a:rPr lang="en-US" sz="1800"/>
            <a:t>Step 1: Application Form</a:t>
          </a:r>
        </a:p>
      </dgm:t>
      <dgm:extLst>
        <a:ext uri="{E40237B7-FDA0-4F09-8148-C483321AD2D9}">
          <dgm14:cNvPr xmlns:dgm14="http://schemas.microsoft.com/office/drawing/2010/diagram" id="0" name="">
            <a:hlinkClick xmlns:r="http://schemas.openxmlformats.org/officeDocument/2006/relationships" r:id="rId4" tooltip="Application Form"/>
          </dgm14:cNvPr>
        </a:ext>
      </dgm:extLst>
    </dgm:pt>
    <dgm:pt modelId="{155B8187-FB3C-443E-96AE-ECD8AA9B5028}" type="parTrans" cxnId="{1B9F449A-0E40-478E-9418-D9A28C503D51}">
      <dgm:prSet/>
      <dgm:spPr/>
      <dgm:t>
        <a:bodyPr/>
        <a:lstStyle/>
        <a:p>
          <a:endParaRPr lang="en-US"/>
        </a:p>
      </dgm:t>
    </dgm:pt>
    <dgm:pt modelId="{AF5A4BAE-11C4-4B71-A952-DE7AD20A7D3D}" type="sibTrans" cxnId="{1B9F449A-0E40-478E-9418-D9A28C503D51}">
      <dgm:prSet/>
      <dgm:spPr/>
      <dgm:t>
        <a:bodyPr/>
        <a:lstStyle/>
        <a:p>
          <a:endParaRPr lang="en-US"/>
        </a:p>
      </dgm:t>
    </dgm:pt>
    <dgm:pt modelId="{07B8A37F-0953-4435-9373-73389A16C5D3}">
      <dgm:prSet custT="1"/>
      <dgm:spPr>
        <a:solidFill>
          <a:schemeClr val="bg1">
            <a:lumMod val="85000"/>
            <a:alpha val="90000"/>
          </a:schemeClr>
        </a:solidFill>
        <a:ln>
          <a:noFill/>
        </a:ln>
      </dgm:spPr>
      <dgm:t>
        <a:bodyPr anchor="ctr"/>
        <a:lstStyle/>
        <a:p>
          <a:r>
            <a:rPr lang="en-US" sz="1200"/>
            <a:t>Complete, print, sign and submit the Application Form to VGBC for registering your project.</a:t>
          </a:r>
        </a:p>
      </dgm:t>
    </dgm:pt>
    <dgm:pt modelId="{319DAB65-59CE-4B92-91A5-DE4F755D2391}" type="parTrans" cxnId="{A1A56E74-F95E-44C5-B3EB-E1D3206C5062}">
      <dgm:prSet/>
      <dgm:spPr/>
      <dgm:t>
        <a:bodyPr/>
        <a:lstStyle/>
        <a:p>
          <a:endParaRPr lang="en-US"/>
        </a:p>
      </dgm:t>
    </dgm:pt>
    <dgm:pt modelId="{1AA4B2B9-A679-4EE6-8C07-1B103C817F85}" type="sibTrans" cxnId="{A1A56E74-F95E-44C5-B3EB-E1D3206C5062}">
      <dgm:prSet/>
      <dgm:spPr/>
      <dgm:t>
        <a:bodyPr/>
        <a:lstStyle/>
        <a:p>
          <a:endParaRPr lang="en-US"/>
        </a:p>
      </dgm:t>
    </dgm:pt>
    <dgm:pt modelId="{25259E53-6BF9-45B9-9B1C-BC84C3D8A83A}" type="pres">
      <dgm:prSet presAssocID="{36FB4A36-E9C9-411A-98C6-F052B50A6EE5}" presName="linear" presStyleCnt="0">
        <dgm:presLayoutVars>
          <dgm:dir/>
          <dgm:animLvl val="lvl"/>
          <dgm:resizeHandles val="exact"/>
        </dgm:presLayoutVars>
      </dgm:prSet>
      <dgm:spPr/>
      <dgm:t>
        <a:bodyPr/>
        <a:lstStyle/>
        <a:p>
          <a:endParaRPr lang="en-US"/>
        </a:p>
      </dgm:t>
    </dgm:pt>
    <dgm:pt modelId="{B654DDF1-4D7F-42A4-BCB9-1C797A862A3B}" type="pres">
      <dgm:prSet presAssocID="{F842C0D3-1FEE-43CF-92FD-7B6540B2289B}" presName="parentLin" presStyleCnt="0"/>
      <dgm:spPr/>
    </dgm:pt>
    <dgm:pt modelId="{CCE02E43-1588-42D1-B70D-DB6E0BBE110A}" type="pres">
      <dgm:prSet presAssocID="{F842C0D3-1FEE-43CF-92FD-7B6540B2289B}" presName="parentLeftMargin" presStyleLbl="node1" presStyleIdx="0" presStyleCnt="7"/>
      <dgm:spPr/>
      <dgm:t>
        <a:bodyPr/>
        <a:lstStyle/>
        <a:p>
          <a:endParaRPr lang="en-US"/>
        </a:p>
      </dgm:t>
    </dgm:pt>
    <dgm:pt modelId="{C5334FA4-E4E8-4480-9609-7791FBBC1674}" type="pres">
      <dgm:prSet presAssocID="{F842C0D3-1FEE-43CF-92FD-7B6540B2289B}" presName="parentText" presStyleLbl="node1" presStyleIdx="0" presStyleCnt="7" custScaleY="84428">
        <dgm:presLayoutVars>
          <dgm:chMax val="0"/>
          <dgm:bulletEnabled val="1"/>
        </dgm:presLayoutVars>
      </dgm:prSet>
      <dgm:spPr/>
      <dgm:t>
        <a:bodyPr/>
        <a:lstStyle/>
        <a:p>
          <a:endParaRPr lang="en-US"/>
        </a:p>
      </dgm:t>
    </dgm:pt>
    <dgm:pt modelId="{B10E1BE0-19FD-4631-B8BD-69F54331AD15}" type="pres">
      <dgm:prSet presAssocID="{F842C0D3-1FEE-43CF-92FD-7B6540B2289B}" presName="negativeSpace" presStyleCnt="0"/>
      <dgm:spPr/>
    </dgm:pt>
    <dgm:pt modelId="{B83FCAB9-EBEC-48D9-AB2C-C6AFCD1E6B8E}" type="pres">
      <dgm:prSet presAssocID="{F842C0D3-1FEE-43CF-92FD-7B6540B2289B}" presName="childText" presStyleLbl="conFgAcc1" presStyleIdx="0" presStyleCnt="7">
        <dgm:presLayoutVars>
          <dgm:bulletEnabled val="1"/>
        </dgm:presLayoutVars>
      </dgm:prSet>
      <dgm:spPr>
        <a:prstGeom prst="roundRect">
          <a:avLst/>
        </a:prstGeom>
      </dgm:spPr>
      <dgm:t>
        <a:bodyPr/>
        <a:lstStyle/>
        <a:p>
          <a:endParaRPr lang="en-US"/>
        </a:p>
      </dgm:t>
    </dgm:pt>
    <dgm:pt modelId="{662B90C0-3E08-4F7C-BCC5-879C534A9062}" type="pres">
      <dgm:prSet presAssocID="{AF5A4BAE-11C4-4B71-A952-DE7AD20A7D3D}" presName="spaceBetweenRectangles" presStyleCnt="0"/>
      <dgm:spPr/>
    </dgm:pt>
    <dgm:pt modelId="{5A5EF130-0367-4021-90A2-055314440987}" type="pres">
      <dgm:prSet presAssocID="{18D65B10-0541-469E-A566-FFFF293F0913}" presName="parentLin" presStyleCnt="0"/>
      <dgm:spPr/>
    </dgm:pt>
    <dgm:pt modelId="{4DE46C19-1B06-4F72-8575-CB952CC4F2B3}" type="pres">
      <dgm:prSet presAssocID="{18D65B10-0541-469E-A566-FFFF293F0913}" presName="parentLeftMargin" presStyleLbl="node1" presStyleIdx="0" presStyleCnt="7"/>
      <dgm:spPr/>
      <dgm:t>
        <a:bodyPr/>
        <a:lstStyle/>
        <a:p>
          <a:endParaRPr lang="en-US"/>
        </a:p>
      </dgm:t>
    </dgm:pt>
    <dgm:pt modelId="{E6F9C73F-9A71-4BD6-BAA2-D97C3D80C5E5}" type="pres">
      <dgm:prSet presAssocID="{18D65B10-0541-469E-A566-FFFF293F0913}" presName="parentText" presStyleLbl="node1" presStyleIdx="1" presStyleCnt="7" custScaleY="84428">
        <dgm:presLayoutVars>
          <dgm:chMax val="0"/>
          <dgm:bulletEnabled val="1"/>
        </dgm:presLayoutVars>
      </dgm:prSet>
      <dgm:spPr/>
      <dgm:t>
        <a:bodyPr/>
        <a:lstStyle/>
        <a:p>
          <a:endParaRPr lang="en-US"/>
        </a:p>
      </dgm:t>
    </dgm:pt>
    <dgm:pt modelId="{221F41B3-4048-461A-B5A9-BBA49675F13F}" type="pres">
      <dgm:prSet presAssocID="{18D65B10-0541-469E-A566-FFFF293F0913}" presName="negativeSpace" presStyleCnt="0"/>
      <dgm:spPr/>
    </dgm:pt>
    <dgm:pt modelId="{F696AFEC-B333-4282-BFEA-6C8CF0D1B162}" type="pres">
      <dgm:prSet presAssocID="{18D65B10-0541-469E-A566-FFFF293F0913}" presName="childText" presStyleLbl="conFgAcc1" presStyleIdx="1" presStyleCnt="7">
        <dgm:presLayoutVars>
          <dgm:bulletEnabled val="1"/>
        </dgm:presLayoutVars>
      </dgm:prSet>
      <dgm:spPr>
        <a:prstGeom prst="roundRect">
          <a:avLst/>
        </a:prstGeom>
      </dgm:spPr>
      <dgm:t>
        <a:bodyPr/>
        <a:lstStyle/>
        <a:p>
          <a:endParaRPr lang="en-US"/>
        </a:p>
      </dgm:t>
    </dgm:pt>
    <dgm:pt modelId="{A0D6BE71-623E-4D96-9795-252C049EDD02}" type="pres">
      <dgm:prSet presAssocID="{4159D29E-92E2-4E8F-A6BB-1A69F64C6C25}" presName="spaceBetweenRectangles" presStyleCnt="0"/>
      <dgm:spPr/>
    </dgm:pt>
    <dgm:pt modelId="{7BE3202F-62D2-4367-BB5C-F779D889BFFD}" type="pres">
      <dgm:prSet presAssocID="{074F5F59-0629-4C17-A002-32A8FEBF23B6}" presName="parentLin" presStyleCnt="0"/>
      <dgm:spPr/>
    </dgm:pt>
    <dgm:pt modelId="{BBE06E77-91F4-457D-85B8-CA22B2CEDDC2}" type="pres">
      <dgm:prSet presAssocID="{074F5F59-0629-4C17-A002-32A8FEBF23B6}" presName="parentLeftMargin" presStyleLbl="node1" presStyleIdx="1" presStyleCnt="7"/>
      <dgm:spPr/>
      <dgm:t>
        <a:bodyPr/>
        <a:lstStyle/>
        <a:p>
          <a:endParaRPr lang="en-US"/>
        </a:p>
      </dgm:t>
    </dgm:pt>
    <dgm:pt modelId="{6740D588-A1FC-40CF-9D13-1578E3488064}" type="pres">
      <dgm:prSet presAssocID="{074F5F59-0629-4C17-A002-32A8FEBF23B6}" presName="parentText" presStyleLbl="node1" presStyleIdx="2" presStyleCnt="7" custScaleY="84428">
        <dgm:presLayoutVars>
          <dgm:chMax val="0"/>
          <dgm:bulletEnabled val="1"/>
        </dgm:presLayoutVars>
      </dgm:prSet>
      <dgm:spPr/>
      <dgm:t>
        <a:bodyPr/>
        <a:lstStyle/>
        <a:p>
          <a:endParaRPr lang="en-US"/>
        </a:p>
      </dgm:t>
    </dgm:pt>
    <dgm:pt modelId="{1CD691F0-601C-4C6F-A48C-6F9F51DBF109}" type="pres">
      <dgm:prSet presAssocID="{074F5F59-0629-4C17-A002-32A8FEBF23B6}" presName="negativeSpace" presStyleCnt="0"/>
      <dgm:spPr/>
    </dgm:pt>
    <dgm:pt modelId="{284A29C9-C546-4F3D-8AD6-42D9476EB620}" type="pres">
      <dgm:prSet presAssocID="{074F5F59-0629-4C17-A002-32A8FEBF23B6}" presName="childText" presStyleLbl="conFgAcc1" presStyleIdx="2" presStyleCnt="7">
        <dgm:presLayoutVars>
          <dgm:bulletEnabled val="1"/>
        </dgm:presLayoutVars>
      </dgm:prSet>
      <dgm:spPr>
        <a:prstGeom prst="roundRect">
          <a:avLst/>
        </a:prstGeom>
      </dgm:spPr>
      <dgm:t>
        <a:bodyPr/>
        <a:lstStyle/>
        <a:p>
          <a:endParaRPr lang="en-US"/>
        </a:p>
      </dgm:t>
    </dgm:pt>
    <dgm:pt modelId="{A30E5078-FC99-42CE-BB3D-E8A43DE9BE12}" type="pres">
      <dgm:prSet presAssocID="{8126839F-1087-4495-BB68-EB154FF604FB}" presName="spaceBetweenRectangles" presStyleCnt="0"/>
      <dgm:spPr/>
    </dgm:pt>
    <dgm:pt modelId="{3B144939-F4E4-436F-B0A2-0412BCF7F90A}" type="pres">
      <dgm:prSet presAssocID="{4B3F0A15-1DEB-4185-93B6-EE16AB1BF4B8}" presName="parentLin" presStyleCnt="0"/>
      <dgm:spPr/>
    </dgm:pt>
    <dgm:pt modelId="{12AA65EA-BB30-48AB-BA85-950222336B25}" type="pres">
      <dgm:prSet presAssocID="{4B3F0A15-1DEB-4185-93B6-EE16AB1BF4B8}" presName="parentLeftMargin" presStyleLbl="node1" presStyleIdx="2" presStyleCnt="7"/>
      <dgm:spPr/>
      <dgm:t>
        <a:bodyPr/>
        <a:lstStyle/>
        <a:p>
          <a:endParaRPr lang="en-US"/>
        </a:p>
      </dgm:t>
    </dgm:pt>
    <dgm:pt modelId="{B3D6AE2B-6188-4039-A24E-BBEA54C42128}" type="pres">
      <dgm:prSet presAssocID="{4B3F0A15-1DEB-4185-93B6-EE16AB1BF4B8}" presName="parentText" presStyleLbl="node1" presStyleIdx="3" presStyleCnt="7" custScaleY="84428">
        <dgm:presLayoutVars>
          <dgm:chMax val="0"/>
          <dgm:bulletEnabled val="1"/>
        </dgm:presLayoutVars>
      </dgm:prSet>
      <dgm:spPr/>
      <dgm:t>
        <a:bodyPr/>
        <a:lstStyle/>
        <a:p>
          <a:endParaRPr lang="en-US"/>
        </a:p>
      </dgm:t>
    </dgm:pt>
    <dgm:pt modelId="{08043CDE-FDFD-4EE2-B1E1-3BED171BFFB8}" type="pres">
      <dgm:prSet presAssocID="{4B3F0A15-1DEB-4185-93B6-EE16AB1BF4B8}" presName="negativeSpace" presStyleCnt="0"/>
      <dgm:spPr/>
    </dgm:pt>
    <dgm:pt modelId="{B6A52FED-A50C-455F-8138-D21A601346D8}" type="pres">
      <dgm:prSet presAssocID="{4B3F0A15-1DEB-4185-93B6-EE16AB1BF4B8}" presName="childText" presStyleLbl="conFgAcc1" presStyleIdx="3" presStyleCnt="7">
        <dgm:presLayoutVars>
          <dgm:bulletEnabled val="1"/>
        </dgm:presLayoutVars>
      </dgm:prSet>
      <dgm:spPr>
        <a:prstGeom prst="roundRect">
          <a:avLst/>
        </a:prstGeom>
      </dgm:spPr>
      <dgm:t>
        <a:bodyPr/>
        <a:lstStyle/>
        <a:p>
          <a:endParaRPr lang="en-US"/>
        </a:p>
      </dgm:t>
    </dgm:pt>
    <dgm:pt modelId="{DADC793B-0A50-42D7-BA0C-C31149FE9674}" type="pres">
      <dgm:prSet presAssocID="{FF58AA89-99F2-431B-B640-036822104D50}" presName="spaceBetweenRectangles" presStyleCnt="0"/>
      <dgm:spPr/>
    </dgm:pt>
    <dgm:pt modelId="{731E547D-0CE7-4402-881D-5462C7C8A173}" type="pres">
      <dgm:prSet presAssocID="{92A00790-3DFA-4E6E-BC10-BDA978B40879}" presName="parentLin" presStyleCnt="0"/>
      <dgm:spPr/>
    </dgm:pt>
    <dgm:pt modelId="{0A139DD8-3DF0-4957-952E-B4EE8DBEE640}" type="pres">
      <dgm:prSet presAssocID="{92A00790-3DFA-4E6E-BC10-BDA978B40879}" presName="parentLeftMargin" presStyleLbl="node1" presStyleIdx="3" presStyleCnt="7"/>
      <dgm:spPr/>
      <dgm:t>
        <a:bodyPr/>
        <a:lstStyle/>
        <a:p>
          <a:endParaRPr lang="en-US"/>
        </a:p>
      </dgm:t>
    </dgm:pt>
    <dgm:pt modelId="{971B44BE-E44E-4022-8567-1BF31102C850}" type="pres">
      <dgm:prSet presAssocID="{92A00790-3DFA-4E6E-BC10-BDA978B40879}" presName="parentText" presStyleLbl="node1" presStyleIdx="4" presStyleCnt="7" custScaleY="84428">
        <dgm:presLayoutVars>
          <dgm:chMax val="0"/>
          <dgm:bulletEnabled val="1"/>
        </dgm:presLayoutVars>
      </dgm:prSet>
      <dgm:spPr/>
      <dgm:t>
        <a:bodyPr/>
        <a:lstStyle/>
        <a:p>
          <a:endParaRPr lang="en-US"/>
        </a:p>
      </dgm:t>
    </dgm:pt>
    <dgm:pt modelId="{65499A02-237F-4797-BC74-586F999670C2}" type="pres">
      <dgm:prSet presAssocID="{92A00790-3DFA-4E6E-BC10-BDA978B40879}" presName="negativeSpace" presStyleCnt="0"/>
      <dgm:spPr/>
    </dgm:pt>
    <dgm:pt modelId="{4458F318-4BE7-4C09-B25E-52BFB7878ACE}" type="pres">
      <dgm:prSet presAssocID="{92A00790-3DFA-4E6E-BC10-BDA978B40879}" presName="childText" presStyleLbl="conFgAcc1" presStyleIdx="4" presStyleCnt="7">
        <dgm:presLayoutVars>
          <dgm:bulletEnabled val="1"/>
        </dgm:presLayoutVars>
      </dgm:prSet>
      <dgm:spPr>
        <a:prstGeom prst="roundRect">
          <a:avLst/>
        </a:prstGeom>
      </dgm:spPr>
      <dgm:t>
        <a:bodyPr/>
        <a:lstStyle/>
        <a:p>
          <a:endParaRPr lang="en-US"/>
        </a:p>
      </dgm:t>
    </dgm:pt>
    <dgm:pt modelId="{4A6D5DFB-6023-4A83-8B5C-B7E578039EBE}" type="pres">
      <dgm:prSet presAssocID="{4334B1E6-1464-47C4-874E-BE1350ED802E}" presName="spaceBetweenRectangles" presStyleCnt="0"/>
      <dgm:spPr/>
    </dgm:pt>
    <dgm:pt modelId="{5F999893-D022-4140-BE7D-CC167D11E04C}" type="pres">
      <dgm:prSet presAssocID="{FDA0AB67-BCCF-4A0E-AF5E-FB1568A34CF8}" presName="parentLin" presStyleCnt="0"/>
      <dgm:spPr/>
    </dgm:pt>
    <dgm:pt modelId="{EE8F2B1F-2F55-44F8-8ED4-6B4D5BD790A0}" type="pres">
      <dgm:prSet presAssocID="{FDA0AB67-BCCF-4A0E-AF5E-FB1568A34CF8}" presName="parentLeftMargin" presStyleLbl="node1" presStyleIdx="4" presStyleCnt="7"/>
      <dgm:spPr/>
      <dgm:t>
        <a:bodyPr/>
        <a:lstStyle/>
        <a:p>
          <a:endParaRPr lang="en-US"/>
        </a:p>
      </dgm:t>
    </dgm:pt>
    <dgm:pt modelId="{6893759E-6629-489E-80C8-992D30467335}" type="pres">
      <dgm:prSet presAssocID="{FDA0AB67-BCCF-4A0E-AF5E-FB1568A34CF8}" presName="parentText" presStyleLbl="node1" presStyleIdx="5" presStyleCnt="7" custScaleY="84428">
        <dgm:presLayoutVars>
          <dgm:chMax val="0"/>
          <dgm:bulletEnabled val="1"/>
        </dgm:presLayoutVars>
      </dgm:prSet>
      <dgm:spPr/>
      <dgm:t>
        <a:bodyPr/>
        <a:lstStyle/>
        <a:p>
          <a:endParaRPr lang="en-US"/>
        </a:p>
      </dgm:t>
    </dgm:pt>
    <dgm:pt modelId="{3A65CE9A-672F-4115-8E7F-BB9A1C3883D7}" type="pres">
      <dgm:prSet presAssocID="{FDA0AB67-BCCF-4A0E-AF5E-FB1568A34CF8}" presName="negativeSpace" presStyleCnt="0"/>
      <dgm:spPr/>
    </dgm:pt>
    <dgm:pt modelId="{78BCC2E0-3957-4F5E-B564-9B3EA0ADB56F}" type="pres">
      <dgm:prSet presAssocID="{FDA0AB67-BCCF-4A0E-AF5E-FB1568A34CF8}" presName="childText" presStyleLbl="conFgAcc1" presStyleIdx="5" presStyleCnt="7" custScaleY="117320">
        <dgm:presLayoutVars>
          <dgm:bulletEnabled val="1"/>
        </dgm:presLayoutVars>
      </dgm:prSet>
      <dgm:spPr>
        <a:prstGeom prst="roundRect">
          <a:avLst/>
        </a:prstGeom>
      </dgm:spPr>
      <dgm:t>
        <a:bodyPr/>
        <a:lstStyle/>
        <a:p>
          <a:endParaRPr lang="en-US"/>
        </a:p>
      </dgm:t>
    </dgm:pt>
    <dgm:pt modelId="{4707652B-E8C2-4979-8DE6-1AAA5768C355}" type="pres">
      <dgm:prSet presAssocID="{533F2383-7CC8-4BE1-BCCD-D4EEE2231453}" presName="spaceBetweenRectangles" presStyleCnt="0"/>
      <dgm:spPr/>
    </dgm:pt>
    <dgm:pt modelId="{52F15177-AA2E-4DDE-BBAB-E34464E9644D}" type="pres">
      <dgm:prSet presAssocID="{B4223EA0-F374-465A-988B-39F9D85D92BB}" presName="parentLin" presStyleCnt="0"/>
      <dgm:spPr/>
    </dgm:pt>
    <dgm:pt modelId="{1206743F-085A-4816-844C-C60841044350}" type="pres">
      <dgm:prSet presAssocID="{B4223EA0-F374-465A-988B-39F9D85D92BB}" presName="parentLeftMargin" presStyleLbl="node1" presStyleIdx="5" presStyleCnt="7"/>
      <dgm:spPr/>
      <dgm:t>
        <a:bodyPr/>
        <a:lstStyle/>
        <a:p>
          <a:endParaRPr lang="en-US"/>
        </a:p>
      </dgm:t>
    </dgm:pt>
    <dgm:pt modelId="{CFF7251A-48E3-4A5E-9073-9D3283E4685E}" type="pres">
      <dgm:prSet presAssocID="{B4223EA0-F374-465A-988B-39F9D85D92BB}" presName="parentText" presStyleLbl="node1" presStyleIdx="6" presStyleCnt="7" custScaleY="84428">
        <dgm:presLayoutVars>
          <dgm:chMax val="0"/>
          <dgm:bulletEnabled val="1"/>
        </dgm:presLayoutVars>
      </dgm:prSet>
      <dgm:spPr/>
      <dgm:t>
        <a:bodyPr/>
        <a:lstStyle/>
        <a:p>
          <a:endParaRPr lang="en-US"/>
        </a:p>
      </dgm:t>
    </dgm:pt>
    <dgm:pt modelId="{842F2109-C618-41AA-B8A3-DF6E49C56C1D}" type="pres">
      <dgm:prSet presAssocID="{B4223EA0-F374-465A-988B-39F9D85D92BB}" presName="negativeSpace" presStyleCnt="0"/>
      <dgm:spPr/>
    </dgm:pt>
    <dgm:pt modelId="{728DACDB-3CC3-454A-9AD6-5D5CF970331D}" type="pres">
      <dgm:prSet presAssocID="{B4223EA0-F374-465A-988B-39F9D85D92BB}" presName="childText" presStyleLbl="conFgAcc1" presStyleIdx="6" presStyleCnt="7" custScaleY="92805">
        <dgm:presLayoutVars>
          <dgm:bulletEnabled val="1"/>
        </dgm:presLayoutVars>
      </dgm:prSet>
      <dgm:spPr>
        <a:prstGeom prst="roundRect">
          <a:avLst/>
        </a:prstGeom>
      </dgm:spPr>
      <dgm:t>
        <a:bodyPr/>
        <a:lstStyle/>
        <a:p>
          <a:endParaRPr lang="en-US"/>
        </a:p>
      </dgm:t>
    </dgm:pt>
  </dgm:ptLst>
  <dgm:cxnLst>
    <dgm:cxn modelId="{38746F03-C6A9-46EA-AB47-4850EB6933CB}" srcId="{FDA0AB67-BCCF-4A0E-AF5E-FB1568A34CF8}" destId="{190B9E62-EAE9-4D69-B816-7AC0F880251E}" srcOrd="1" destOrd="0" parTransId="{6C86B2D4-01CA-4B0C-88A9-9D9420A88361}" sibTransId="{9501B2D3-1715-4458-B659-0005643D2746}"/>
    <dgm:cxn modelId="{846B9D77-5952-4A78-BFC5-86211684DB02}" srcId="{074F5F59-0629-4C17-A002-32A8FEBF23B6}" destId="{0D399A1C-E58E-4463-B549-BD34B6B471F7}" srcOrd="0" destOrd="0" parTransId="{082ECF45-A5BB-42FA-8593-5D92A458C8F4}" sibTransId="{5B05C06C-F215-4806-B1EC-8D75786AD2F9}"/>
    <dgm:cxn modelId="{789A9ECB-7106-4F64-92D6-B6DCF5DDCD59}" type="presOf" srcId="{07B8A37F-0953-4435-9373-73389A16C5D3}" destId="{B83FCAB9-EBEC-48D9-AB2C-C6AFCD1E6B8E}" srcOrd="0" destOrd="0" presId="urn:microsoft.com/office/officeart/2005/8/layout/list1"/>
    <dgm:cxn modelId="{736292CF-2333-4D50-9CE4-24D7579795A9}" type="presOf" srcId="{074F5F59-0629-4C17-A002-32A8FEBF23B6}" destId="{6740D588-A1FC-40CF-9D13-1578E3488064}" srcOrd="1" destOrd="0" presId="urn:microsoft.com/office/officeart/2005/8/layout/list1"/>
    <dgm:cxn modelId="{960528FB-076A-475F-AFFD-5B5E8AF436FA}" type="presOf" srcId="{4B3F0A15-1DEB-4185-93B6-EE16AB1BF4B8}" destId="{B3D6AE2B-6188-4039-A24E-BBEA54C42128}" srcOrd="1" destOrd="0" presId="urn:microsoft.com/office/officeart/2005/8/layout/list1"/>
    <dgm:cxn modelId="{32CFB27B-63A9-4587-9482-EE02698E6B6C}" srcId="{92A00790-3DFA-4E6E-BC10-BDA978B40879}" destId="{6D402FEA-C63C-4E7D-B5CD-1217D9D16F5E}" srcOrd="1" destOrd="0" parTransId="{8FEFB342-C940-42B2-9F9B-0C63D1E43BE2}" sibTransId="{9FD4F6FB-3DD3-4604-92A7-BC980AC6F9F9}"/>
    <dgm:cxn modelId="{12352FA8-3538-4204-8AF4-325CB45DCAEE}" srcId="{36FB4A36-E9C9-411A-98C6-F052B50A6EE5}" destId="{92A00790-3DFA-4E6E-BC10-BDA978B40879}" srcOrd="4" destOrd="0" parTransId="{13CDDFCB-0CEB-4930-B756-22586CF79C5F}" sibTransId="{4334B1E6-1464-47C4-874E-BE1350ED802E}"/>
    <dgm:cxn modelId="{B4019F89-9536-4C86-A2B6-54CB699F7DD2}" type="presOf" srcId="{4F74EB52-93B6-4E1E-9DEB-9283C317DF3D}" destId="{F696AFEC-B333-4282-BFEA-6C8CF0D1B162}" srcOrd="0" destOrd="0" presId="urn:microsoft.com/office/officeart/2005/8/layout/list1"/>
    <dgm:cxn modelId="{1CFCF506-892D-487F-99CA-E9711BB50D3C}" type="presOf" srcId="{B4223EA0-F374-465A-988B-39F9D85D92BB}" destId="{CFF7251A-48E3-4A5E-9073-9D3283E4685E}" srcOrd="1" destOrd="0" presId="urn:microsoft.com/office/officeart/2005/8/layout/list1"/>
    <dgm:cxn modelId="{57B10671-564E-4D17-ACE2-37880F34BF4E}" srcId="{18D65B10-0541-469E-A566-FFFF293F0913}" destId="{CD363F13-4C4E-4A07-BE6F-AA7AE79DBF0B}" srcOrd="1" destOrd="0" parTransId="{B069EE1D-8642-47EC-9AFE-556922E030ED}" sibTransId="{FEE00A98-BB30-449E-A107-95450D7A8874}"/>
    <dgm:cxn modelId="{0A9B46F7-47C1-416A-8D90-57DEF3036C7E}" type="presOf" srcId="{CCB44C10-8484-49B5-9D63-F8C42A34F805}" destId="{284A29C9-C546-4F3D-8AD6-42D9476EB620}" srcOrd="0" destOrd="1" presId="urn:microsoft.com/office/officeart/2005/8/layout/list1"/>
    <dgm:cxn modelId="{9D9AEAD4-E9FB-463A-A25B-930CE6890C9A}" type="presOf" srcId="{F842C0D3-1FEE-43CF-92FD-7B6540B2289B}" destId="{CCE02E43-1588-42D1-B70D-DB6E0BBE110A}" srcOrd="0" destOrd="0" presId="urn:microsoft.com/office/officeart/2005/8/layout/list1"/>
    <dgm:cxn modelId="{DA3040E7-B800-412B-A7B1-09A1E22783A6}" type="presOf" srcId="{18D65B10-0541-469E-A566-FFFF293F0913}" destId="{E6F9C73F-9A71-4BD6-BAA2-D97C3D80C5E5}" srcOrd="1" destOrd="0" presId="urn:microsoft.com/office/officeart/2005/8/layout/list1"/>
    <dgm:cxn modelId="{0BF466E4-5AB2-47ED-90C6-FCA6DE34E429}" type="presOf" srcId="{F9083E11-4F71-4BBD-9780-F0DC4A6332F0}" destId="{284A29C9-C546-4F3D-8AD6-42D9476EB620}" srcOrd="0" destOrd="2" presId="urn:microsoft.com/office/officeart/2005/8/layout/list1"/>
    <dgm:cxn modelId="{7379B579-C026-49D7-BD0E-AC2938EE2628}" srcId="{36FB4A36-E9C9-411A-98C6-F052B50A6EE5}" destId="{FDA0AB67-BCCF-4A0E-AF5E-FB1568A34CF8}" srcOrd="5" destOrd="0" parTransId="{2532122A-DC88-4ADB-AC46-F1F55A899308}" sibTransId="{533F2383-7CC8-4BE1-BCCD-D4EEE2231453}"/>
    <dgm:cxn modelId="{8FE070B1-016C-4EB7-94F2-949844CAF845}" type="presOf" srcId="{D5BD095E-10DC-4E7B-B957-5A0F5D949E72}" destId="{728DACDB-3CC3-454A-9AD6-5D5CF970331D}" srcOrd="0" destOrd="1" presId="urn:microsoft.com/office/officeart/2005/8/layout/list1"/>
    <dgm:cxn modelId="{01FA2E22-91A8-487B-8B38-67E097378696}" type="presOf" srcId="{92A00790-3DFA-4E6E-BC10-BDA978B40879}" destId="{0A139DD8-3DF0-4957-952E-B4EE8DBEE640}" srcOrd="0" destOrd="0" presId="urn:microsoft.com/office/officeart/2005/8/layout/list1"/>
    <dgm:cxn modelId="{A8F53310-FD93-4D6D-81E9-5637C5E70B5F}" srcId="{92A00790-3DFA-4E6E-BC10-BDA978B40879}" destId="{041F61BF-7B3B-4397-B670-344F6010729E}" srcOrd="0" destOrd="0" parTransId="{2E1989B4-05DF-4D4F-A275-C7D2ADE90B0C}" sibTransId="{690CF9C6-C937-467E-8E2F-619DA26D4169}"/>
    <dgm:cxn modelId="{57BEA81D-18E9-492C-8AA9-C253BEE739D4}" srcId="{36FB4A36-E9C9-411A-98C6-F052B50A6EE5}" destId="{18D65B10-0541-469E-A566-FFFF293F0913}" srcOrd="1" destOrd="0" parTransId="{73B31C1B-51AB-4698-ABB3-D29E62535BE1}" sibTransId="{4159D29E-92E2-4E8F-A6BB-1A69F64C6C25}"/>
    <dgm:cxn modelId="{793AF22D-CDD1-45D0-9571-198E6E1C569A}" srcId="{B4223EA0-F374-465A-988B-39F9D85D92BB}" destId="{D5BD095E-10DC-4E7B-B957-5A0F5D949E72}" srcOrd="1" destOrd="0" parTransId="{CA3D530F-F67F-4610-BE8F-C6F6FDE863D1}" sibTransId="{F290B284-7224-40F2-970D-5695988EAE3B}"/>
    <dgm:cxn modelId="{33278FFF-AA74-48E4-BA6D-B9AFBD8972AA}" srcId="{92A00790-3DFA-4E6E-BC10-BDA978B40879}" destId="{BCE2399F-31FE-4581-BB04-2BC7971A29FA}" srcOrd="3" destOrd="0" parTransId="{5BDF5EC1-430B-4386-A97C-556D59DB2D1E}" sibTransId="{076377FC-2A86-4C3B-AE8A-404FB0FE210B}"/>
    <dgm:cxn modelId="{CEBB5DFD-C8CE-429A-80BC-D9CE03A0196A}" type="presOf" srcId="{0D399A1C-E58E-4463-B549-BD34B6B471F7}" destId="{284A29C9-C546-4F3D-8AD6-42D9476EB620}" srcOrd="0" destOrd="0" presId="urn:microsoft.com/office/officeart/2005/8/layout/list1"/>
    <dgm:cxn modelId="{8102D345-AEF5-4E17-938E-3CC4B0861971}" type="presOf" srcId="{6D402FEA-C63C-4E7D-B5CD-1217D9D16F5E}" destId="{4458F318-4BE7-4C09-B25E-52BFB7878ACE}" srcOrd="0" destOrd="1" presId="urn:microsoft.com/office/officeart/2005/8/layout/list1"/>
    <dgm:cxn modelId="{3FA5AC5F-5A04-4CFA-B881-E8D66BE1750B}" srcId="{36FB4A36-E9C9-411A-98C6-F052B50A6EE5}" destId="{B4223EA0-F374-465A-988B-39F9D85D92BB}" srcOrd="6" destOrd="0" parTransId="{7151A66E-33BD-4C96-8273-C02FA4834330}" sibTransId="{05F8F0A6-FA46-414A-86B4-4BED3DEE3A70}"/>
    <dgm:cxn modelId="{1B9F449A-0E40-478E-9418-D9A28C503D51}" srcId="{36FB4A36-E9C9-411A-98C6-F052B50A6EE5}" destId="{F842C0D3-1FEE-43CF-92FD-7B6540B2289B}" srcOrd="0" destOrd="0" parTransId="{155B8187-FB3C-443E-96AE-ECD8AA9B5028}" sibTransId="{AF5A4BAE-11C4-4B71-A952-DE7AD20A7D3D}"/>
    <dgm:cxn modelId="{717C0EF4-C1E8-4EC1-8335-19DDACC95D8F}" type="presOf" srcId="{FDA0AB67-BCCF-4A0E-AF5E-FB1568A34CF8}" destId="{6893759E-6629-489E-80C8-992D30467335}" srcOrd="1" destOrd="0" presId="urn:microsoft.com/office/officeart/2005/8/layout/list1"/>
    <dgm:cxn modelId="{247C04C9-C6F1-408A-851B-860585EB6228}" type="presOf" srcId="{1BF5AD01-5090-42C6-BBBD-84295ACD538D}" destId="{B6A52FED-A50C-455F-8138-D21A601346D8}" srcOrd="0" destOrd="0" presId="urn:microsoft.com/office/officeart/2005/8/layout/list1"/>
    <dgm:cxn modelId="{5A04D568-7717-4069-A7C3-9C5F0CD6F1F8}" srcId="{4B3F0A15-1DEB-4185-93B6-EE16AB1BF4B8}" destId="{095D0AC1-B91C-498A-96D4-2FE32E865267}" srcOrd="1" destOrd="0" parTransId="{130DCD0C-439A-413E-9E26-568CAB1A4733}" sibTransId="{C88632EE-1CF1-486F-B9C6-DF591AF3AF66}"/>
    <dgm:cxn modelId="{23223419-EEBD-4571-AC4A-116B4869ACCB}" type="presOf" srcId="{183105BE-DA41-498F-B03E-FD77A90383CC}" destId="{78BCC2E0-3957-4F5E-B564-9B3EA0ADB56F}" srcOrd="0" destOrd="0" presId="urn:microsoft.com/office/officeart/2005/8/layout/list1"/>
    <dgm:cxn modelId="{65806DDB-60EE-41AA-A1A1-6AEE8A8F3535}" type="presOf" srcId="{4B3F0A15-1DEB-4185-93B6-EE16AB1BF4B8}" destId="{12AA65EA-BB30-48AB-BA85-950222336B25}" srcOrd="0" destOrd="0" presId="urn:microsoft.com/office/officeart/2005/8/layout/list1"/>
    <dgm:cxn modelId="{F6FADAFB-8DE9-4411-9253-2D06E7883CB5}" type="presOf" srcId="{A8CAF16D-B2F3-4285-9F9C-A26B4E437782}" destId="{728DACDB-3CC3-454A-9AD6-5D5CF970331D}" srcOrd="0" destOrd="0" presId="urn:microsoft.com/office/officeart/2005/8/layout/list1"/>
    <dgm:cxn modelId="{676FBD7B-29A8-44A9-9914-8337CFBB3262}" type="presOf" srcId="{92A00790-3DFA-4E6E-BC10-BDA978B40879}" destId="{971B44BE-E44E-4022-8567-1BF31102C850}" srcOrd="1" destOrd="0" presId="urn:microsoft.com/office/officeart/2005/8/layout/list1"/>
    <dgm:cxn modelId="{A1A56E74-F95E-44C5-B3EB-E1D3206C5062}" srcId="{F842C0D3-1FEE-43CF-92FD-7B6540B2289B}" destId="{07B8A37F-0953-4435-9373-73389A16C5D3}" srcOrd="0" destOrd="0" parTransId="{319DAB65-59CE-4B92-91A5-DE4F755D2391}" sibTransId="{1AA4B2B9-A679-4EE6-8C07-1B103C817F85}"/>
    <dgm:cxn modelId="{A68046B9-44F0-4D6D-963E-6FBD39650AB3}" type="presOf" srcId="{F842C0D3-1FEE-43CF-92FD-7B6540B2289B}" destId="{C5334FA4-E4E8-4480-9609-7791FBBC1674}" srcOrd="1" destOrd="0" presId="urn:microsoft.com/office/officeart/2005/8/layout/list1"/>
    <dgm:cxn modelId="{16F0B77C-8072-46E1-AA2D-8FD1FA206DBC}" srcId="{92A00790-3DFA-4E6E-BC10-BDA978B40879}" destId="{9150FDA9-2F77-4BB9-B28A-6E602E87AC97}" srcOrd="2" destOrd="0" parTransId="{0166B149-2F47-43BD-86D8-048B99C13DDE}" sibTransId="{377E61AC-A2A0-447D-B264-CC2DC007225C}"/>
    <dgm:cxn modelId="{3F4C7B3C-0112-49A8-8AF5-D0381F846010}" srcId="{4B3F0A15-1DEB-4185-93B6-EE16AB1BF4B8}" destId="{1BF5AD01-5090-42C6-BBBD-84295ACD538D}" srcOrd="0" destOrd="0" parTransId="{632E0C4A-8035-4A3B-B964-9A51EDD98AC3}" sibTransId="{94C89C27-CB78-47B6-A248-02F63054822D}"/>
    <dgm:cxn modelId="{14D73367-B961-422E-BC6B-CA74B2BD19FE}" type="presOf" srcId="{041F61BF-7B3B-4397-B670-344F6010729E}" destId="{4458F318-4BE7-4C09-B25E-52BFB7878ACE}" srcOrd="0" destOrd="0" presId="urn:microsoft.com/office/officeart/2005/8/layout/list1"/>
    <dgm:cxn modelId="{22605336-E5DC-4A2B-B427-24D9493C1CB3}" type="presOf" srcId="{FDA0AB67-BCCF-4A0E-AF5E-FB1568A34CF8}" destId="{EE8F2B1F-2F55-44F8-8ED4-6B4D5BD790A0}" srcOrd="0" destOrd="0" presId="urn:microsoft.com/office/officeart/2005/8/layout/list1"/>
    <dgm:cxn modelId="{924F4586-9D8E-4FAA-A727-E63B41A43C79}" srcId="{18D65B10-0541-469E-A566-FFFF293F0913}" destId="{4F74EB52-93B6-4E1E-9DEB-9283C317DF3D}" srcOrd="0" destOrd="0" parTransId="{0E8A06C5-C6D2-4D79-AF07-9A48CD83D867}" sibTransId="{FB2BFFEF-2B78-46B5-9A1D-AAB04B8E4A6A}"/>
    <dgm:cxn modelId="{72559EAA-FBCE-4F87-9EF8-67B3B2852C5C}" type="presOf" srcId="{074F5F59-0629-4C17-A002-32A8FEBF23B6}" destId="{BBE06E77-91F4-457D-85B8-CA22B2CEDDC2}" srcOrd="0" destOrd="0" presId="urn:microsoft.com/office/officeart/2005/8/layout/list1"/>
    <dgm:cxn modelId="{5D4A1813-EF1B-4108-A4BC-1A20A263DB02}" type="presOf" srcId="{B4223EA0-F374-465A-988B-39F9D85D92BB}" destId="{1206743F-085A-4816-844C-C60841044350}" srcOrd="0" destOrd="0" presId="urn:microsoft.com/office/officeart/2005/8/layout/list1"/>
    <dgm:cxn modelId="{F7E10F02-DA45-4399-B590-ABE8049B9B66}" srcId="{074F5F59-0629-4C17-A002-32A8FEBF23B6}" destId="{CCB44C10-8484-49B5-9D63-F8C42A34F805}" srcOrd="1" destOrd="0" parTransId="{E75A36B1-9B85-4D71-94A6-9C7BF1DB83AF}" sibTransId="{2006DA99-A2CD-4969-B108-6C2C59B35EB5}"/>
    <dgm:cxn modelId="{EEC180CD-BB18-44CD-8D76-A5923FCB6C36}" srcId="{074F5F59-0629-4C17-A002-32A8FEBF23B6}" destId="{F9083E11-4F71-4BBD-9780-F0DC4A6332F0}" srcOrd="2" destOrd="0" parTransId="{9AFB5AFF-07CA-4691-8F15-DEF8F3D2A581}" sibTransId="{7352A9BC-DDDB-46C3-BB74-0C96690F288D}"/>
    <dgm:cxn modelId="{1F1CBE5F-110C-4719-9301-7D4855ABF50C}" type="presOf" srcId="{CD363F13-4C4E-4A07-BE6F-AA7AE79DBF0B}" destId="{F696AFEC-B333-4282-BFEA-6C8CF0D1B162}" srcOrd="0" destOrd="1" presId="urn:microsoft.com/office/officeart/2005/8/layout/list1"/>
    <dgm:cxn modelId="{A0D1074C-34AB-4472-A957-E6DBFC800A81}" type="presOf" srcId="{BCE2399F-31FE-4581-BB04-2BC7971A29FA}" destId="{4458F318-4BE7-4C09-B25E-52BFB7878ACE}" srcOrd="0" destOrd="3" presId="urn:microsoft.com/office/officeart/2005/8/layout/list1"/>
    <dgm:cxn modelId="{08BD3635-675E-4584-AB3A-AB791F0FF583}" srcId="{FDA0AB67-BCCF-4A0E-AF5E-FB1568A34CF8}" destId="{183105BE-DA41-498F-B03E-FD77A90383CC}" srcOrd="0" destOrd="0" parTransId="{CC6D3595-8F6F-4A3D-B726-CBBC427658FD}" sibTransId="{843C0F15-D565-4A65-97A8-58E708213DD7}"/>
    <dgm:cxn modelId="{D69FF23D-A9A8-4045-8A63-99737B80D12A}" type="presOf" srcId="{190B9E62-EAE9-4D69-B816-7AC0F880251E}" destId="{78BCC2E0-3957-4F5E-B564-9B3EA0ADB56F}" srcOrd="0" destOrd="1" presId="urn:microsoft.com/office/officeart/2005/8/layout/list1"/>
    <dgm:cxn modelId="{46FF0A86-584F-457C-8446-58AC5D2EF79C}" type="presOf" srcId="{9150FDA9-2F77-4BB9-B28A-6E602E87AC97}" destId="{4458F318-4BE7-4C09-B25E-52BFB7878ACE}" srcOrd="0" destOrd="2" presId="urn:microsoft.com/office/officeart/2005/8/layout/list1"/>
    <dgm:cxn modelId="{36DB6256-6228-482D-8F0A-A810C5ACC969}" srcId="{B4223EA0-F374-465A-988B-39F9D85D92BB}" destId="{A8CAF16D-B2F3-4285-9F9C-A26B4E437782}" srcOrd="0" destOrd="0" parTransId="{F27F26FF-7C2B-4532-ADBD-901D97F56755}" sibTransId="{F2A8DE4D-3C08-4FB6-8EBC-0DC0CE7B5F11}"/>
    <dgm:cxn modelId="{0218F809-BADB-47BF-A668-FFA80479BF9F}" type="presOf" srcId="{095D0AC1-B91C-498A-96D4-2FE32E865267}" destId="{B6A52FED-A50C-455F-8138-D21A601346D8}" srcOrd="0" destOrd="1" presId="urn:microsoft.com/office/officeart/2005/8/layout/list1"/>
    <dgm:cxn modelId="{E8C2F9A1-B1F6-41F1-A95C-BA15858B7030}" srcId="{36FB4A36-E9C9-411A-98C6-F052B50A6EE5}" destId="{4B3F0A15-1DEB-4185-93B6-EE16AB1BF4B8}" srcOrd="3" destOrd="0" parTransId="{07BAC280-92F1-4A57-A13F-1602EE1D1C00}" sibTransId="{FF58AA89-99F2-431B-B640-036822104D50}"/>
    <dgm:cxn modelId="{19893371-E72E-4CF9-BCF3-C78F04276791}" type="presOf" srcId="{36FB4A36-E9C9-411A-98C6-F052B50A6EE5}" destId="{25259E53-6BF9-45B9-9B1C-BC84C3D8A83A}" srcOrd="0" destOrd="0" presId="urn:microsoft.com/office/officeart/2005/8/layout/list1"/>
    <dgm:cxn modelId="{284C10F4-7CA7-4715-8EAA-FACABF40D977}" type="presOf" srcId="{18D65B10-0541-469E-A566-FFFF293F0913}" destId="{4DE46C19-1B06-4F72-8575-CB952CC4F2B3}" srcOrd="0" destOrd="0" presId="urn:microsoft.com/office/officeart/2005/8/layout/list1"/>
    <dgm:cxn modelId="{17092A43-36D8-4F4D-8C67-6F080E46F118}" srcId="{36FB4A36-E9C9-411A-98C6-F052B50A6EE5}" destId="{074F5F59-0629-4C17-A002-32A8FEBF23B6}" srcOrd="2" destOrd="0" parTransId="{EA729D0D-64F1-4A64-B6AC-685323C95660}" sibTransId="{8126839F-1087-4495-BB68-EB154FF604FB}"/>
    <dgm:cxn modelId="{B326BB39-FE9A-4F8D-95F1-3B6AE6997C91}" type="presParOf" srcId="{25259E53-6BF9-45B9-9B1C-BC84C3D8A83A}" destId="{B654DDF1-4D7F-42A4-BCB9-1C797A862A3B}" srcOrd="0" destOrd="0" presId="urn:microsoft.com/office/officeart/2005/8/layout/list1"/>
    <dgm:cxn modelId="{D821F42E-E0D9-4691-93C6-743827DF3DAA}" type="presParOf" srcId="{B654DDF1-4D7F-42A4-BCB9-1C797A862A3B}" destId="{CCE02E43-1588-42D1-B70D-DB6E0BBE110A}" srcOrd="0" destOrd="0" presId="urn:microsoft.com/office/officeart/2005/8/layout/list1"/>
    <dgm:cxn modelId="{DD9176A5-6A1D-4B5A-9AC5-B7D771F3F0D6}" type="presParOf" srcId="{B654DDF1-4D7F-42A4-BCB9-1C797A862A3B}" destId="{C5334FA4-E4E8-4480-9609-7791FBBC1674}" srcOrd="1" destOrd="0" presId="urn:microsoft.com/office/officeart/2005/8/layout/list1"/>
    <dgm:cxn modelId="{C8A890FB-1154-4DBE-85F7-4AF176ECB021}" type="presParOf" srcId="{25259E53-6BF9-45B9-9B1C-BC84C3D8A83A}" destId="{B10E1BE0-19FD-4631-B8BD-69F54331AD15}" srcOrd="1" destOrd="0" presId="urn:microsoft.com/office/officeart/2005/8/layout/list1"/>
    <dgm:cxn modelId="{B89EB3DF-77BA-4BFF-BAF5-1D91A0791EB2}" type="presParOf" srcId="{25259E53-6BF9-45B9-9B1C-BC84C3D8A83A}" destId="{B83FCAB9-EBEC-48D9-AB2C-C6AFCD1E6B8E}" srcOrd="2" destOrd="0" presId="urn:microsoft.com/office/officeart/2005/8/layout/list1"/>
    <dgm:cxn modelId="{2AD70D41-3B4B-4E07-B302-3C1BD0561E3A}" type="presParOf" srcId="{25259E53-6BF9-45B9-9B1C-BC84C3D8A83A}" destId="{662B90C0-3E08-4F7C-BCC5-879C534A9062}" srcOrd="3" destOrd="0" presId="urn:microsoft.com/office/officeart/2005/8/layout/list1"/>
    <dgm:cxn modelId="{03E5D514-C17C-4787-B726-32AFD14BC1BC}" type="presParOf" srcId="{25259E53-6BF9-45B9-9B1C-BC84C3D8A83A}" destId="{5A5EF130-0367-4021-90A2-055314440987}" srcOrd="4" destOrd="0" presId="urn:microsoft.com/office/officeart/2005/8/layout/list1"/>
    <dgm:cxn modelId="{07E56F02-ABA2-406E-A417-71F60872B088}" type="presParOf" srcId="{5A5EF130-0367-4021-90A2-055314440987}" destId="{4DE46C19-1B06-4F72-8575-CB952CC4F2B3}" srcOrd="0" destOrd="0" presId="urn:microsoft.com/office/officeart/2005/8/layout/list1"/>
    <dgm:cxn modelId="{C3573325-EDB2-401D-8453-9F17D57AA33D}" type="presParOf" srcId="{5A5EF130-0367-4021-90A2-055314440987}" destId="{E6F9C73F-9A71-4BD6-BAA2-D97C3D80C5E5}" srcOrd="1" destOrd="0" presId="urn:microsoft.com/office/officeart/2005/8/layout/list1"/>
    <dgm:cxn modelId="{8C4B92DE-0929-45A3-BCB9-6321A333A660}" type="presParOf" srcId="{25259E53-6BF9-45B9-9B1C-BC84C3D8A83A}" destId="{221F41B3-4048-461A-B5A9-BBA49675F13F}" srcOrd="5" destOrd="0" presId="urn:microsoft.com/office/officeart/2005/8/layout/list1"/>
    <dgm:cxn modelId="{784E0A1E-CFD3-4018-8927-0AEFA27371B3}" type="presParOf" srcId="{25259E53-6BF9-45B9-9B1C-BC84C3D8A83A}" destId="{F696AFEC-B333-4282-BFEA-6C8CF0D1B162}" srcOrd="6" destOrd="0" presId="urn:microsoft.com/office/officeart/2005/8/layout/list1"/>
    <dgm:cxn modelId="{BF6AF558-CF5D-45E2-810E-E7F9340154C5}" type="presParOf" srcId="{25259E53-6BF9-45B9-9B1C-BC84C3D8A83A}" destId="{A0D6BE71-623E-4D96-9795-252C049EDD02}" srcOrd="7" destOrd="0" presId="urn:microsoft.com/office/officeart/2005/8/layout/list1"/>
    <dgm:cxn modelId="{8E44128C-069E-4B73-BF41-C6B110FADB1E}" type="presParOf" srcId="{25259E53-6BF9-45B9-9B1C-BC84C3D8A83A}" destId="{7BE3202F-62D2-4367-BB5C-F779D889BFFD}" srcOrd="8" destOrd="0" presId="urn:microsoft.com/office/officeart/2005/8/layout/list1"/>
    <dgm:cxn modelId="{E8BFED0A-CC22-478B-BBA0-33DBA4C698BD}" type="presParOf" srcId="{7BE3202F-62D2-4367-BB5C-F779D889BFFD}" destId="{BBE06E77-91F4-457D-85B8-CA22B2CEDDC2}" srcOrd="0" destOrd="0" presId="urn:microsoft.com/office/officeart/2005/8/layout/list1"/>
    <dgm:cxn modelId="{D508D6B5-2EE1-49E6-8505-73CF8C3D5BEC}" type="presParOf" srcId="{7BE3202F-62D2-4367-BB5C-F779D889BFFD}" destId="{6740D588-A1FC-40CF-9D13-1578E3488064}" srcOrd="1" destOrd="0" presId="urn:microsoft.com/office/officeart/2005/8/layout/list1"/>
    <dgm:cxn modelId="{92632BEA-CBB4-43F7-834A-C6FC0A5B43BA}" type="presParOf" srcId="{25259E53-6BF9-45B9-9B1C-BC84C3D8A83A}" destId="{1CD691F0-601C-4C6F-A48C-6F9F51DBF109}" srcOrd="9" destOrd="0" presId="urn:microsoft.com/office/officeart/2005/8/layout/list1"/>
    <dgm:cxn modelId="{3FCEE283-2442-4D4A-8862-09EDE11C8E45}" type="presParOf" srcId="{25259E53-6BF9-45B9-9B1C-BC84C3D8A83A}" destId="{284A29C9-C546-4F3D-8AD6-42D9476EB620}" srcOrd="10" destOrd="0" presId="urn:microsoft.com/office/officeart/2005/8/layout/list1"/>
    <dgm:cxn modelId="{3BC24DE7-1620-46B3-A358-E2281F6A3EBC}" type="presParOf" srcId="{25259E53-6BF9-45B9-9B1C-BC84C3D8A83A}" destId="{A30E5078-FC99-42CE-BB3D-E8A43DE9BE12}" srcOrd="11" destOrd="0" presId="urn:microsoft.com/office/officeart/2005/8/layout/list1"/>
    <dgm:cxn modelId="{F6872E5C-6CFA-420A-987C-A13DCE09780C}" type="presParOf" srcId="{25259E53-6BF9-45B9-9B1C-BC84C3D8A83A}" destId="{3B144939-F4E4-436F-B0A2-0412BCF7F90A}" srcOrd="12" destOrd="0" presId="urn:microsoft.com/office/officeart/2005/8/layout/list1"/>
    <dgm:cxn modelId="{B7702E20-6AB8-46DD-808B-C68524EC6088}" type="presParOf" srcId="{3B144939-F4E4-436F-B0A2-0412BCF7F90A}" destId="{12AA65EA-BB30-48AB-BA85-950222336B25}" srcOrd="0" destOrd="0" presId="urn:microsoft.com/office/officeart/2005/8/layout/list1"/>
    <dgm:cxn modelId="{5E67B841-D3C6-4B09-9D62-2C8B8A520774}" type="presParOf" srcId="{3B144939-F4E4-436F-B0A2-0412BCF7F90A}" destId="{B3D6AE2B-6188-4039-A24E-BBEA54C42128}" srcOrd="1" destOrd="0" presId="urn:microsoft.com/office/officeart/2005/8/layout/list1"/>
    <dgm:cxn modelId="{9E69CEFE-922C-4B2A-A92C-33BC1A4F57C3}" type="presParOf" srcId="{25259E53-6BF9-45B9-9B1C-BC84C3D8A83A}" destId="{08043CDE-FDFD-4EE2-B1E1-3BED171BFFB8}" srcOrd="13" destOrd="0" presId="urn:microsoft.com/office/officeart/2005/8/layout/list1"/>
    <dgm:cxn modelId="{A209CC64-EC5E-44F9-884B-F4E075A60165}" type="presParOf" srcId="{25259E53-6BF9-45B9-9B1C-BC84C3D8A83A}" destId="{B6A52FED-A50C-455F-8138-D21A601346D8}" srcOrd="14" destOrd="0" presId="urn:microsoft.com/office/officeart/2005/8/layout/list1"/>
    <dgm:cxn modelId="{BDDD6C7D-88F7-4920-B08F-B7A51DB395D1}" type="presParOf" srcId="{25259E53-6BF9-45B9-9B1C-BC84C3D8A83A}" destId="{DADC793B-0A50-42D7-BA0C-C31149FE9674}" srcOrd="15" destOrd="0" presId="urn:microsoft.com/office/officeart/2005/8/layout/list1"/>
    <dgm:cxn modelId="{71238FC9-9658-47EE-8F44-706901B48861}" type="presParOf" srcId="{25259E53-6BF9-45B9-9B1C-BC84C3D8A83A}" destId="{731E547D-0CE7-4402-881D-5462C7C8A173}" srcOrd="16" destOrd="0" presId="urn:microsoft.com/office/officeart/2005/8/layout/list1"/>
    <dgm:cxn modelId="{C5C429DE-552E-4A32-87CB-E0B2D203FFAE}" type="presParOf" srcId="{731E547D-0CE7-4402-881D-5462C7C8A173}" destId="{0A139DD8-3DF0-4957-952E-B4EE8DBEE640}" srcOrd="0" destOrd="0" presId="urn:microsoft.com/office/officeart/2005/8/layout/list1"/>
    <dgm:cxn modelId="{62DE08C8-758D-4CD3-A9C4-753EC0391B08}" type="presParOf" srcId="{731E547D-0CE7-4402-881D-5462C7C8A173}" destId="{971B44BE-E44E-4022-8567-1BF31102C850}" srcOrd="1" destOrd="0" presId="urn:microsoft.com/office/officeart/2005/8/layout/list1"/>
    <dgm:cxn modelId="{E3B73099-1344-4B2B-B14E-C43117FEB7A0}" type="presParOf" srcId="{25259E53-6BF9-45B9-9B1C-BC84C3D8A83A}" destId="{65499A02-237F-4797-BC74-586F999670C2}" srcOrd="17" destOrd="0" presId="urn:microsoft.com/office/officeart/2005/8/layout/list1"/>
    <dgm:cxn modelId="{FB7543A6-864D-414C-ADA0-EB13B886EE6D}" type="presParOf" srcId="{25259E53-6BF9-45B9-9B1C-BC84C3D8A83A}" destId="{4458F318-4BE7-4C09-B25E-52BFB7878ACE}" srcOrd="18" destOrd="0" presId="urn:microsoft.com/office/officeart/2005/8/layout/list1"/>
    <dgm:cxn modelId="{EC1D853A-5468-4ED1-B799-3846E9DCD53B}" type="presParOf" srcId="{25259E53-6BF9-45B9-9B1C-BC84C3D8A83A}" destId="{4A6D5DFB-6023-4A83-8B5C-B7E578039EBE}" srcOrd="19" destOrd="0" presId="urn:microsoft.com/office/officeart/2005/8/layout/list1"/>
    <dgm:cxn modelId="{6ACF020B-94E9-4647-88D2-2B3EF3A48960}" type="presParOf" srcId="{25259E53-6BF9-45B9-9B1C-BC84C3D8A83A}" destId="{5F999893-D022-4140-BE7D-CC167D11E04C}" srcOrd="20" destOrd="0" presId="urn:microsoft.com/office/officeart/2005/8/layout/list1"/>
    <dgm:cxn modelId="{69249528-8743-4131-AAF6-34E8F77E91E8}" type="presParOf" srcId="{5F999893-D022-4140-BE7D-CC167D11E04C}" destId="{EE8F2B1F-2F55-44F8-8ED4-6B4D5BD790A0}" srcOrd="0" destOrd="0" presId="urn:microsoft.com/office/officeart/2005/8/layout/list1"/>
    <dgm:cxn modelId="{66546EA9-736B-43A3-9390-4645DBF114A5}" type="presParOf" srcId="{5F999893-D022-4140-BE7D-CC167D11E04C}" destId="{6893759E-6629-489E-80C8-992D30467335}" srcOrd="1" destOrd="0" presId="urn:microsoft.com/office/officeart/2005/8/layout/list1"/>
    <dgm:cxn modelId="{E356E9F5-FB27-4AF1-A547-033F7588F35D}" type="presParOf" srcId="{25259E53-6BF9-45B9-9B1C-BC84C3D8A83A}" destId="{3A65CE9A-672F-4115-8E7F-BB9A1C3883D7}" srcOrd="21" destOrd="0" presId="urn:microsoft.com/office/officeart/2005/8/layout/list1"/>
    <dgm:cxn modelId="{1FFB020E-FC96-4F64-B590-F7484BA28894}" type="presParOf" srcId="{25259E53-6BF9-45B9-9B1C-BC84C3D8A83A}" destId="{78BCC2E0-3957-4F5E-B564-9B3EA0ADB56F}" srcOrd="22" destOrd="0" presId="urn:microsoft.com/office/officeart/2005/8/layout/list1"/>
    <dgm:cxn modelId="{C59D5CD3-1BEC-4C17-B50C-3D7C28D393FF}" type="presParOf" srcId="{25259E53-6BF9-45B9-9B1C-BC84C3D8A83A}" destId="{4707652B-E8C2-4979-8DE6-1AAA5768C355}" srcOrd="23" destOrd="0" presId="urn:microsoft.com/office/officeart/2005/8/layout/list1"/>
    <dgm:cxn modelId="{23DDA818-DDDA-426E-BA55-8DE99EDF23BE}" type="presParOf" srcId="{25259E53-6BF9-45B9-9B1C-BC84C3D8A83A}" destId="{52F15177-AA2E-4DDE-BBAB-E34464E9644D}" srcOrd="24" destOrd="0" presId="urn:microsoft.com/office/officeart/2005/8/layout/list1"/>
    <dgm:cxn modelId="{8583CEA4-18E4-4C83-8E67-DFB4E8F4ABB3}" type="presParOf" srcId="{52F15177-AA2E-4DDE-BBAB-E34464E9644D}" destId="{1206743F-085A-4816-844C-C60841044350}" srcOrd="0" destOrd="0" presId="urn:microsoft.com/office/officeart/2005/8/layout/list1"/>
    <dgm:cxn modelId="{1DEC34C3-41B5-4A18-B996-3EC20255FBE4}" type="presParOf" srcId="{52F15177-AA2E-4DDE-BBAB-E34464E9644D}" destId="{CFF7251A-48E3-4A5E-9073-9D3283E4685E}" srcOrd="1" destOrd="0" presId="urn:microsoft.com/office/officeart/2005/8/layout/list1"/>
    <dgm:cxn modelId="{9349E986-5B3B-4132-8A88-A1A434BAC236}" type="presParOf" srcId="{25259E53-6BF9-45B9-9B1C-BC84C3D8A83A}" destId="{842F2109-C618-41AA-B8A3-DF6E49C56C1D}" srcOrd="25" destOrd="0" presId="urn:microsoft.com/office/officeart/2005/8/layout/list1"/>
    <dgm:cxn modelId="{E7C7C5D6-A7C9-44DE-8017-43A206A3B3BF}" type="presParOf" srcId="{25259E53-6BF9-45B9-9B1C-BC84C3D8A83A}" destId="{728DACDB-3CC3-454A-9AD6-5D5CF970331D}" srcOrd="26" destOrd="0" presId="urn:microsoft.com/office/officeart/2005/8/layout/list1"/>
  </dgm:cxnLst>
  <dgm:bg/>
  <dgm:whole/>
  <dgm:extLst>
    <a:ext uri="http://schemas.microsoft.com/office/drawing/2008/diagram">
      <dsp:dataModelExt xmlns:dsp="http://schemas.microsoft.com/office/drawing/2008/diagram" relId="rId11"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35221A75-EC9D-466F-BA6E-DAD2A6189829}" type="doc">
      <dgm:prSet loTypeId="urn:microsoft.com/office/officeart/2005/8/layout/radial3" loCatId="cycle" qsTypeId="urn:microsoft.com/office/officeart/2005/8/quickstyle/simple1" qsCatId="simple" csTypeId="urn:microsoft.com/office/officeart/2005/8/colors/accent1_2" csCatId="accent1" phldr="1"/>
      <dgm:spPr/>
      <dgm:t>
        <a:bodyPr/>
        <a:lstStyle/>
        <a:p>
          <a:endParaRPr lang="en-US"/>
        </a:p>
      </dgm:t>
    </dgm:pt>
    <dgm:pt modelId="{149B21FB-EF86-47ED-B21B-CCFFA7BE0744}">
      <dgm:prSet phldrT="[Text]"/>
      <dgm:spPr>
        <a:solidFill>
          <a:srgbClr val="943634">
            <a:alpha val="50000"/>
          </a:srgbClr>
        </a:solidFill>
        <a:ln>
          <a:noFill/>
        </a:ln>
        <a:effectLst/>
      </dgm:spPr>
      <dgm:t>
        <a:bodyPr/>
        <a:lstStyle/>
        <a:p>
          <a:r>
            <a:rPr lang="en-US">
              <a:solidFill>
                <a:schemeClr val="bg1"/>
              </a:solidFill>
            </a:rPr>
            <a:t>LOTUS Homes</a:t>
          </a:r>
        </a:p>
      </dgm:t>
    </dgm:pt>
    <dgm:pt modelId="{C3F09DB2-8AD6-4BDD-B381-DFA3DDFE24AD}" type="parTrans" cxnId="{C9802C0D-8388-4890-86DC-DFC11AC53D36}">
      <dgm:prSet/>
      <dgm:spPr/>
      <dgm:t>
        <a:bodyPr/>
        <a:lstStyle/>
        <a:p>
          <a:endParaRPr lang="en-US"/>
        </a:p>
      </dgm:t>
    </dgm:pt>
    <dgm:pt modelId="{89CDCAF7-F7A9-4F6B-89D4-CCF2671B41E5}" type="sibTrans" cxnId="{C9802C0D-8388-4890-86DC-DFC11AC53D36}">
      <dgm:prSet/>
      <dgm:spPr/>
      <dgm:t>
        <a:bodyPr/>
        <a:lstStyle/>
        <a:p>
          <a:endParaRPr lang="en-US"/>
        </a:p>
      </dgm:t>
    </dgm:pt>
    <dgm:pt modelId="{50E4CA71-B841-4954-9F06-FE7CA4028100}">
      <dgm:prSet phldrT="[Text]" custT="1"/>
      <dgm:spPr>
        <a:solidFill>
          <a:srgbClr val="58AB27">
            <a:alpha val="50000"/>
          </a:srgbClr>
        </a:solidFill>
      </dgm:spPr>
      <dgm:t>
        <a:bodyPr/>
        <a:lstStyle/>
        <a:p>
          <a:endParaRPr lang="en-US" sz="1500"/>
        </a:p>
      </dgm:t>
      <dgm:extLst>
        <a:ext uri="{E40237B7-FDA0-4F09-8148-C483321AD2D9}">
          <dgm14:cNvPr xmlns:dgm14="http://schemas.microsoft.com/office/drawing/2010/diagram" id="0" name="">
            <a:hlinkClick xmlns:r="http://schemas.openxmlformats.org/officeDocument/2006/relationships" r:id="" tooltip="W-1 Water Efficient Fixtures"/>
          </dgm14:cNvPr>
        </a:ext>
      </dgm:extLst>
    </dgm:pt>
    <dgm:pt modelId="{3EC2F745-5831-456C-8E93-C3E5334D9D6E}" type="parTrans" cxnId="{7A1A2F60-BE72-48DA-8F0F-0D059917C303}">
      <dgm:prSet/>
      <dgm:spPr/>
      <dgm:t>
        <a:bodyPr/>
        <a:lstStyle/>
        <a:p>
          <a:endParaRPr lang="en-US"/>
        </a:p>
      </dgm:t>
    </dgm:pt>
    <dgm:pt modelId="{B7F51FFE-F47D-4F88-B69F-B77D717D907E}" type="sibTrans" cxnId="{7A1A2F60-BE72-48DA-8F0F-0D059917C303}">
      <dgm:prSet/>
      <dgm:spPr/>
      <dgm:t>
        <a:bodyPr/>
        <a:lstStyle/>
        <a:p>
          <a:endParaRPr lang="en-US"/>
        </a:p>
      </dgm:t>
    </dgm:pt>
    <dgm:pt modelId="{5643BFC8-91C2-426E-8189-F6FE054FA97F}">
      <dgm:prSet phldrT="[Text]" custT="1"/>
      <dgm:spPr>
        <a:solidFill>
          <a:srgbClr val="0070C0">
            <a:alpha val="50000"/>
          </a:srgbClr>
        </a:solidFill>
      </dgm:spPr>
      <dgm:t>
        <a:bodyPr/>
        <a:lstStyle/>
        <a:p>
          <a:endParaRPr lang="en-US" sz="1800">
            <a:solidFill>
              <a:schemeClr val="bg1"/>
            </a:solidFill>
          </a:endParaRPr>
        </a:p>
      </dgm:t>
    </dgm:pt>
    <dgm:pt modelId="{58DF9915-A4BD-4AC5-86F6-65AE99C99B59}" type="parTrans" cxnId="{6CE76116-900D-4DAF-9D21-A82F9B3546C1}">
      <dgm:prSet/>
      <dgm:spPr/>
      <dgm:t>
        <a:bodyPr/>
        <a:lstStyle/>
        <a:p>
          <a:endParaRPr lang="en-US"/>
        </a:p>
      </dgm:t>
    </dgm:pt>
    <dgm:pt modelId="{771EA7E4-6217-4DF1-B50E-E8DBECEAA600}" type="sibTrans" cxnId="{6CE76116-900D-4DAF-9D21-A82F9B3546C1}">
      <dgm:prSet/>
      <dgm:spPr/>
      <dgm:t>
        <a:bodyPr/>
        <a:lstStyle/>
        <a:p>
          <a:endParaRPr lang="en-US"/>
        </a:p>
      </dgm:t>
    </dgm:pt>
    <dgm:pt modelId="{100CD882-2B0A-43AA-B25F-80DB1D8DC999}">
      <dgm:prSet phldrT="[Text]"/>
      <dgm:spPr>
        <a:solidFill>
          <a:srgbClr val="76923C">
            <a:alpha val="50000"/>
          </a:srgbClr>
        </a:solidFill>
      </dgm:spPr>
      <dgm:t>
        <a:bodyPr/>
        <a:lstStyle/>
        <a:p>
          <a:endParaRPr lang="en-US">
            <a:solidFill>
              <a:schemeClr val="bg1"/>
            </a:solidFill>
          </a:endParaRPr>
        </a:p>
      </dgm:t>
    </dgm:pt>
    <dgm:pt modelId="{4DE6C14E-B84C-4EF9-988B-350B3383B224}" type="parTrans" cxnId="{39611E87-3A70-41AA-B3B2-565CD125B7F3}">
      <dgm:prSet/>
      <dgm:spPr/>
      <dgm:t>
        <a:bodyPr/>
        <a:lstStyle/>
        <a:p>
          <a:endParaRPr lang="en-US"/>
        </a:p>
      </dgm:t>
    </dgm:pt>
    <dgm:pt modelId="{2DCEC550-A957-438A-A2F0-6F7940415025}" type="sibTrans" cxnId="{39611E87-3A70-41AA-B3B2-565CD125B7F3}">
      <dgm:prSet/>
      <dgm:spPr/>
      <dgm:t>
        <a:bodyPr/>
        <a:lstStyle/>
        <a:p>
          <a:endParaRPr lang="en-US"/>
        </a:p>
      </dgm:t>
    </dgm:pt>
    <dgm:pt modelId="{62A20723-55AC-4206-A898-BC5EE125B0DF}">
      <dgm:prSet phldrT="[Text]"/>
      <dgm:spPr>
        <a:solidFill>
          <a:srgbClr val="5F4970">
            <a:alpha val="50000"/>
          </a:srgbClr>
        </a:solidFill>
      </dgm:spPr>
      <dgm:t>
        <a:bodyPr/>
        <a:lstStyle/>
        <a:p>
          <a:endParaRPr lang="en-US">
            <a:solidFill>
              <a:schemeClr val="bg1"/>
            </a:solidFill>
          </a:endParaRPr>
        </a:p>
      </dgm:t>
    </dgm:pt>
    <dgm:pt modelId="{1750E2E1-F394-42B2-AA80-C85E45F5BA81}" type="parTrans" cxnId="{3B076345-42CC-4778-8B72-24F951191C7A}">
      <dgm:prSet/>
      <dgm:spPr/>
      <dgm:t>
        <a:bodyPr/>
        <a:lstStyle/>
        <a:p>
          <a:endParaRPr lang="en-US"/>
        </a:p>
      </dgm:t>
    </dgm:pt>
    <dgm:pt modelId="{140EE13C-4FD2-4276-91C9-B78BC7CB341B}" type="sibTrans" cxnId="{3B076345-42CC-4778-8B72-24F951191C7A}">
      <dgm:prSet/>
      <dgm:spPr/>
      <dgm:t>
        <a:bodyPr/>
        <a:lstStyle/>
        <a:p>
          <a:endParaRPr lang="en-US"/>
        </a:p>
      </dgm:t>
    </dgm:pt>
    <dgm:pt modelId="{34C894B0-B20C-413D-91C8-F504EA24124E}">
      <dgm:prSet phldrT="[Text]"/>
      <dgm:spPr>
        <a:solidFill>
          <a:srgbClr val="943634">
            <a:alpha val="50000"/>
          </a:srgbClr>
        </a:solidFill>
      </dgm:spPr>
      <dgm:t>
        <a:bodyPr/>
        <a:lstStyle/>
        <a:p>
          <a:endParaRPr lang="en-US">
            <a:solidFill>
              <a:schemeClr val="bg1"/>
            </a:solidFill>
          </a:endParaRPr>
        </a:p>
      </dgm:t>
    </dgm:pt>
    <dgm:pt modelId="{D6259F8A-0FF6-4918-A4D9-2F6B6F316B69}" type="parTrans" cxnId="{0A14E3EC-F6E4-43D3-8B63-8D64A1C9BA6B}">
      <dgm:prSet/>
      <dgm:spPr/>
      <dgm:t>
        <a:bodyPr/>
        <a:lstStyle/>
        <a:p>
          <a:endParaRPr lang="en-US"/>
        </a:p>
      </dgm:t>
    </dgm:pt>
    <dgm:pt modelId="{B99DC857-BF5D-436F-9EDD-8EB0C59FB164}" type="sibTrans" cxnId="{0A14E3EC-F6E4-43D3-8B63-8D64A1C9BA6B}">
      <dgm:prSet/>
      <dgm:spPr/>
      <dgm:t>
        <a:bodyPr/>
        <a:lstStyle/>
        <a:p>
          <a:endParaRPr lang="en-US"/>
        </a:p>
      </dgm:t>
    </dgm:pt>
    <dgm:pt modelId="{AF8D8FC5-C98B-4C12-97DB-84CAEAB2D533}">
      <dgm:prSet phldrT="[Text]" custT="1"/>
      <dgm:spPr>
        <a:solidFill>
          <a:srgbClr val="FFC000">
            <a:alpha val="50000"/>
          </a:srgbClr>
        </a:solidFill>
      </dgm:spPr>
      <dgm:t>
        <a:bodyPr/>
        <a:lstStyle/>
        <a:p>
          <a:endParaRPr lang="en-US" sz="1600">
            <a:solidFill>
              <a:schemeClr val="bg1"/>
            </a:solidFill>
          </a:endParaRPr>
        </a:p>
      </dgm:t>
    </dgm:pt>
    <dgm:pt modelId="{07BC21A6-CCE8-411B-9C51-102433E2CE13}" type="sibTrans" cxnId="{01C211C4-16D1-4FF6-A10C-469956D83A66}">
      <dgm:prSet/>
      <dgm:spPr/>
      <dgm:t>
        <a:bodyPr/>
        <a:lstStyle/>
        <a:p>
          <a:endParaRPr lang="en-US"/>
        </a:p>
      </dgm:t>
    </dgm:pt>
    <dgm:pt modelId="{44F6C2C9-AC78-46FF-B654-7497B70954BC}" type="parTrans" cxnId="{01C211C4-16D1-4FF6-A10C-469956D83A66}">
      <dgm:prSet/>
      <dgm:spPr/>
      <dgm:t>
        <a:bodyPr/>
        <a:lstStyle/>
        <a:p>
          <a:endParaRPr lang="en-US"/>
        </a:p>
      </dgm:t>
    </dgm:pt>
    <dgm:pt modelId="{67B52E16-A2D5-48BB-B7F1-850052634F2A}">
      <dgm:prSet phldrT="[Text]" custT="1"/>
      <dgm:spPr>
        <a:solidFill>
          <a:srgbClr val="984806">
            <a:alpha val="50000"/>
          </a:srgbClr>
        </a:solidFill>
      </dgm:spPr>
      <dgm:t>
        <a:bodyPr/>
        <a:lstStyle/>
        <a:p>
          <a:endParaRPr lang="en-US" sz="1600">
            <a:solidFill>
              <a:schemeClr val="bg1"/>
            </a:solidFill>
          </a:endParaRPr>
        </a:p>
      </dgm:t>
    </dgm:pt>
    <dgm:pt modelId="{A5B66BD1-3183-437C-9B86-F57FB16800BB}" type="parTrans" cxnId="{A24D4F97-7407-4C2C-AD60-DDA212AFB322}">
      <dgm:prSet/>
      <dgm:spPr/>
      <dgm:t>
        <a:bodyPr/>
        <a:lstStyle/>
        <a:p>
          <a:endParaRPr lang="en-US"/>
        </a:p>
      </dgm:t>
    </dgm:pt>
    <dgm:pt modelId="{57B335DB-4AA1-46A9-94AE-AF00CEB4BB4F}" type="sibTrans" cxnId="{A24D4F97-7407-4C2C-AD60-DDA212AFB322}">
      <dgm:prSet/>
      <dgm:spPr/>
      <dgm:t>
        <a:bodyPr/>
        <a:lstStyle/>
        <a:p>
          <a:endParaRPr lang="en-US"/>
        </a:p>
      </dgm:t>
    </dgm:pt>
    <dgm:pt modelId="{B0406A81-78CD-4FC2-B859-1A9EC5BE5098}" type="pres">
      <dgm:prSet presAssocID="{35221A75-EC9D-466F-BA6E-DAD2A6189829}" presName="composite" presStyleCnt="0">
        <dgm:presLayoutVars>
          <dgm:chMax val="1"/>
          <dgm:dir/>
          <dgm:resizeHandles val="exact"/>
        </dgm:presLayoutVars>
      </dgm:prSet>
      <dgm:spPr/>
      <dgm:t>
        <a:bodyPr/>
        <a:lstStyle/>
        <a:p>
          <a:endParaRPr lang="en-US"/>
        </a:p>
      </dgm:t>
    </dgm:pt>
    <dgm:pt modelId="{A6A4D161-C845-4630-B843-37FDFAFA439E}" type="pres">
      <dgm:prSet presAssocID="{35221A75-EC9D-466F-BA6E-DAD2A6189829}" presName="radial" presStyleCnt="0">
        <dgm:presLayoutVars>
          <dgm:animLvl val="ctr"/>
        </dgm:presLayoutVars>
      </dgm:prSet>
      <dgm:spPr/>
    </dgm:pt>
    <dgm:pt modelId="{2B3AFA4A-1BF0-4AA4-A26A-0365F51F9645}" type="pres">
      <dgm:prSet presAssocID="{149B21FB-EF86-47ED-B21B-CCFFA7BE0744}" presName="centerShape" presStyleLbl="vennNode1" presStyleIdx="0" presStyleCnt="8" custScaleX="86564" custScaleY="86564"/>
      <dgm:spPr/>
      <dgm:t>
        <a:bodyPr/>
        <a:lstStyle/>
        <a:p>
          <a:endParaRPr lang="en-US"/>
        </a:p>
      </dgm:t>
    </dgm:pt>
    <dgm:pt modelId="{1C293624-15C3-49C9-B1E0-40E743F6674E}" type="pres">
      <dgm:prSet presAssocID="{50E4CA71-B841-4954-9F06-FE7CA4028100}" presName="node" presStyleLbl="vennNode1" presStyleIdx="1" presStyleCnt="8" custScaleX="98930" custScaleY="98930">
        <dgm:presLayoutVars>
          <dgm:bulletEnabled val="1"/>
        </dgm:presLayoutVars>
      </dgm:prSet>
      <dgm:spPr/>
      <dgm:t>
        <a:bodyPr/>
        <a:lstStyle/>
        <a:p>
          <a:endParaRPr lang="en-US"/>
        </a:p>
      </dgm:t>
    </dgm:pt>
    <dgm:pt modelId="{C7972613-520C-4733-9CDA-EA54C2164035}" type="pres">
      <dgm:prSet presAssocID="{5643BFC8-91C2-426E-8189-F6FE054FA97F}" presName="node" presStyleLbl="vennNode1" presStyleIdx="2" presStyleCnt="8" custScaleX="98930" custScaleY="98930">
        <dgm:presLayoutVars>
          <dgm:bulletEnabled val="1"/>
        </dgm:presLayoutVars>
      </dgm:prSet>
      <dgm:spPr/>
      <dgm:t>
        <a:bodyPr/>
        <a:lstStyle/>
        <a:p>
          <a:endParaRPr lang="en-US"/>
        </a:p>
      </dgm:t>
    </dgm:pt>
    <dgm:pt modelId="{8FC99862-EC81-40F7-A971-4E4D663EE19C}" type="pres">
      <dgm:prSet presAssocID="{62A20723-55AC-4206-A898-BC5EE125B0DF}" presName="node" presStyleLbl="vennNode1" presStyleIdx="3" presStyleCnt="8" custScaleX="98930" custScaleY="98930">
        <dgm:presLayoutVars>
          <dgm:bulletEnabled val="1"/>
        </dgm:presLayoutVars>
      </dgm:prSet>
      <dgm:spPr/>
      <dgm:t>
        <a:bodyPr/>
        <a:lstStyle/>
        <a:p>
          <a:endParaRPr lang="en-US"/>
        </a:p>
      </dgm:t>
    </dgm:pt>
    <dgm:pt modelId="{A341F029-7297-499C-8A98-0D936F7AEE7B}" type="pres">
      <dgm:prSet presAssocID="{34C894B0-B20C-413D-91C8-F504EA24124E}" presName="node" presStyleLbl="vennNode1" presStyleIdx="4" presStyleCnt="8" custScaleX="98930" custScaleY="98930">
        <dgm:presLayoutVars>
          <dgm:bulletEnabled val="1"/>
        </dgm:presLayoutVars>
      </dgm:prSet>
      <dgm:spPr/>
      <dgm:t>
        <a:bodyPr/>
        <a:lstStyle/>
        <a:p>
          <a:endParaRPr lang="en-US"/>
        </a:p>
      </dgm:t>
    </dgm:pt>
    <dgm:pt modelId="{84DAD140-45D7-476A-A9A6-72ABD5DDE66C}" type="pres">
      <dgm:prSet presAssocID="{100CD882-2B0A-43AA-B25F-80DB1D8DC999}" presName="node" presStyleLbl="vennNode1" presStyleIdx="5" presStyleCnt="8" custScaleX="98930" custScaleY="98930">
        <dgm:presLayoutVars>
          <dgm:bulletEnabled val="1"/>
        </dgm:presLayoutVars>
      </dgm:prSet>
      <dgm:spPr/>
      <dgm:t>
        <a:bodyPr/>
        <a:lstStyle/>
        <a:p>
          <a:endParaRPr lang="en-US"/>
        </a:p>
      </dgm:t>
    </dgm:pt>
    <dgm:pt modelId="{7689C41F-26FF-4BD4-9010-404E427C92CB}" type="pres">
      <dgm:prSet presAssocID="{67B52E16-A2D5-48BB-B7F1-850052634F2A}" presName="node" presStyleLbl="vennNode1" presStyleIdx="6" presStyleCnt="8">
        <dgm:presLayoutVars>
          <dgm:bulletEnabled val="1"/>
        </dgm:presLayoutVars>
      </dgm:prSet>
      <dgm:spPr/>
      <dgm:t>
        <a:bodyPr/>
        <a:lstStyle/>
        <a:p>
          <a:endParaRPr lang="en-US"/>
        </a:p>
      </dgm:t>
    </dgm:pt>
    <dgm:pt modelId="{15354715-D3E2-417D-A84A-96E52C408F02}" type="pres">
      <dgm:prSet presAssocID="{AF8D8FC5-C98B-4C12-97DB-84CAEAB2D533}" presName="node" presStyleLbl="vennNode1" presStyleIdx="7" presStyleCnt="8" custScaleX="98930" custScaleY="98930">
        <dgm:presLayoutVars>
          <dgm:bulletEnabled val="1"/>
        </dgm:presLayoutVars>
      </dgm:prSet>
      <dgm:spPr/>
      <dgm:t>
        <a:bodyPr/>
        <a:lstStyle/>
        <a:p>
          <a:endParaRPr lang="en-US"/>
        </a:p>
      </dgm:t>
    </dgm:pt>
  </dgm:ptLst>
  <dgm:cxnLst>
    <dgm:cxn modelId="{BCFE9D1C-9EEE-4898-8FBA-9411C7ECF818}" type="presOf" srcId="{5643BFC8-91C2-426E-8189-F6FE054FA97F}" destId="{C7972613-520C-4733-9CDA-EA54C2164035}" srcOrd="0" destOrd="0" presId="urn:microsoft.com/office/officeart/2005/8/layout/radial3"/>
    <dgm:cxn modelId="{0126F8E3-0529-49E2-8181-B1167DF43E89}" type="presOf" srcId="{AF8D8FC5-C98B-4C12-97DB-84CAEAB2D533}" destId="{15354715-D3E2-417D-A84A-96E52C408F02}" srcOrd="0" destOrd="0" presId="urn:microsoft.com/office/officeart/2005/8/layout/radial3"/>
    <dgm:cxn modelId="{DAFAD30A-3F05-4EDF-A304-2675434F475C}" type="presOf" srcId="{34C894B0-B20C-413D-91C8-F504EA24124E}" destId="{A341F029-7297-499C-8A98-0D936F7AEE7B}" srcOrd="0" destOrd="0" presId="urn:microsoft.com/office/officeart/2005/8/layout/radial3"/>
    <dgm:cxn modelId="{39611E87-3A70-41AA-B3B2-565CD125B7F3}" srcId="{149B21FB-EF86-47ED-B21B-CCFFA7BE0744}" destId="{100CD882-2B0A-43AA-B25F-80DB1D8DC999}" srcOrd="4" destOrd="0" parTransId="{4DE6C14E-B84C-4EF9-988B-350B3383B224}" sibTransId="{2DCEC550-A957-438A-A2F0-6F7940415025}"/>
    <dgm:cxn modelId="{7FCEE137-F2F5-4402-94EC-BFD4017E796D}" type="presOf" srcId="{50E4CA71-B841-4954-9F06-FE7CA4028100}" destId="{1C293624-15C3-49C9-B1E0-40E743F6674E}" srcOrd="0" destOrd="0" presId="urn:microsoft.com/office/officeart/2005/8/layout/radial3"/>
    <dgm:cxn modelId="{6CE76116-900D-4DAF-9D21-A82F9B3546C1}" srcId="{149B21FB-EF86-47ED-B21B-CCFFA7BE0744}" destId="{5643BFC8-91C2-426E-8189-F6FE054FA97F}" srcOrd="1" destOrd="0" parTransId="{58DF9915-A4BD-4AC5-86F6-65AE99C99B59}" sibTransId="{771EA7E4-6217-4DF1-B50E-E8DBECEAA600}"/>
    <dgm:cxn modelId="{4D9F2B29-A48B-4F3F-8887-C7E18E9B39B5}" type="presOf" srcId="{35221A75-EC9D-466F-BA6E-DAD2A6189829}" destId="{B0406A81-78CD-4FC2-B859-1A9EC5BE5098}" srcOrd="0" destOrd="0" presId="urn:microsoft.com/office/officeart/2005/8/layout/radial3"/>
    <dgm:cxn modelId="{01C211C4-16D1-4FF6-A10C-469956D83A66}" srcId="{149B21FB-EF86-47ED-B21B-CCFFA7BE0744}" destId="{AF8D8FC5-C98B-4C12-97DB-84CAEAB2D533}" srcOrd="6" destOrd="0" parTransId="{44F6C2C9-AC78-46FF-B654-7497B70954BC}" sibTransId="{07BC21A6-CCE8-411B-9C51-102433E2CE13}"/>
    <dgm:cxn modelId="{3B076345-42CC-4778-8B72-24F951191C7A}" srcId="{149B21FB-EF86-47ED-B21B-CCFFA7BE0744}" destId="{62A20723-55AC-4206-A898-BC5EE125B0DF}" srcOrd="2" destOrd="0" parTransId="{1750E2E1-F394-42B2-AA80-C85E45F5BA81}" sibTransId="{140EE13C-4FD2-4276-91C9-B78BC7CB341B}"/>
    <dgm:cxn modelId="{DC433CB3-1910-4117-ACEA-5475032D8798}" type="presOf" srcId="{67B52E16-A2D5-48BB-B7F1-850052634F2A}" destId="{7689C41F-26FF-4BD4-9010-404E427C92CB}" srcOrd="0" destOrd="0" presId="urn:microsoft.com/office/officeart/2005/8/layout/radial3"/>
    <dgm:cxn modelId="{2CD2FD05-C2EE-4610-B99C-E5E01A550A67}" type="presOf" srcId="{62A20723-55AC-4206-A898-BC5EE125B0DF}" destId="{8FC99862-EC81-40F7-A971-4E4D663EE19C}" srcOrd="0" destOrd="0" presId="urn:microsoft.com/office/officeart/2005/8/layout/radial3"/>
    <dgm:cxn modelId="{7A1A2F60-BE72-48DA-8F0F-0D059917C303}" srcId="{149B21FB-EF86-47ED-B21B-CCFFA7BE0744}" destId="{50E4CA71-B841-4954-9F06-FE7CA4028100}" srcOrd="0" destOrd="0" parTransId="{3EC2F745-5831-456C-8E93-C3E5334D9D6E}" sibTransId="{B7F51FFE-F47D-4F88-B69F-B77D717D907E}"/>
    <dgm:cxn modelId="{C9802C0D-8388-4890-86DC-DFC11AC53D36}" srcId="{35221A75-EC9D-466F-BA6E-DAD2A6189829}" destId="{149B21FB-EF86-47ED-B21B-CCFFA7BE0744}" srcOrd="0" destOrd="0" parTransId="{C3F09DB2-8AD6-4BDD-B381-DFA3DDFE24AD}" sibTransId="{89CDCAF7-F7A9-4F6B-89D4-CCF2671B41E5}"/>
    <dgm:cxn modelId="{81FB56BF-2622-4EAD-9863-82F78A3D1D88}" type="presOf" srcId="{149B21FB-EF86-47ED-B21B-CCFFA7BE0744}" destId="{2B3AFA4A-1BF0-4AA4-A26A-0365F51F9645}" srcOrd="0" destOrd="0" presId="urn:microsoft.com/office/officeart/2005/8/layout/radial3"/>
    <dgm:cxn modelId="{D3647B6B-B159-43A3-A004-BEA0F2EBA4B2}" type="presOf" srcId="{100CD882-2B0A-43AA-B25F-80DB1D8DC999}" destId="{84DAD140-45D7-476A-A9A6-72ABD5DDE66C}" srcOrd="0" destOrd="0" presId="urn:microsoft.com/office/officeart/2005/8/layout/radial3"/>
    <dgm:cxn modelId="{A24D4F97-7407-4C2C-AD60-DDA212AFB322}" srcId="{149B21FB-EF86-47ED-B21B-CCFFA7BE0744}" destId="{67B52E16-A2D5-48BB-B7F1-850052634F2A}" srcOrd="5" destOrd="0" parTransId="{A5B66BD1-3183-437C-9B86-F57FB16800BB}" sibTransId="{57B335DB-4AA1-46A9-94AE-AF00CEB4BB4F}"/>
    <dgm:cxn modelId="{0A14E3EC-F6E4-43D3-8B63-8D64A1C9BA6B}" srcId="{149B21FB-EF86-47ED-B21B-CCFFA7BE0744}" destId="{34C894B0-B20C-413D-91C8-F504EA24124E}" srcOrd="3" destOrd="0" parTransId="{D6259F8A-0FF6-4918-A4D9-2F6B6F316B69}" sibTransId="{B99DC857-BF5D-436F-9EDD-8EB0C59FB164}"/>
    <dgm:cxn modelId="{C1B88B1D-3766-481E-97E3-CB3DB5AB61E5}" type="presParOf" srcId="{B0406A81-78CD-4FC2-B859-1A9EC5BE5098}" destId="{A6A4D161-C845-4630-B843-37FDFAFA439E}" srcOrd="0" destOrd="0" presId="urn:microsoft.com/office/officeart/2005/8/layout/radial3"/>
    <dgm:cxn modelId="{34A118BC-591E-4454-A7E8-312EC1AD5C08}" type="presParOf" srcId="{A6A4D161-C845-4630-B843-37FDFAFA439E}" destId="{2B3AFA4A-1BF0-4AA4-A26A-0365F51F9645}" srcOrd="0" destOrd="0" presId="urn:microsoft.com/office/officeart/2005/8/layout/radial3"/>
    <dgm:cxn modelId="{AE4882AC-B7D5-46E8-B867-8375AFCFC073}" type="presParOf" srcId="{A6A4D161-C845-4630-B843-37FDFAFA439E}" destId="{1C293624-15C3-49C9-B1E0-40E743F6674E}" srcOrd="1" destOrd="0" presId="urn:microsoft.com/office/officeart/2005/8/layout/radial3"/>
    <dgm:cxn modelId="{FFC04A2D-C769-44D0-A752-3D99CE6D1021}" type="presParOf" srcId="{A6A4D161-C845-4630-B843-37FDFAFA439E}" destId="{C7972613-520C-4733-9CDA-EA54C2164035}" srcOrd="2" destOrd="0" presId="urn:microsoft.com/office/officeart/2005/8/layout/radial3"/>
    <dgm:cxn modelId="{00832803-B974-48BF-9B7E-AA54B90FA6D8}" type="presParOf" srcId="{A6A4D161-C845-4630-B843-37FDFAFA439E}" destId="{8FC99862-EC81-40F7-A971-4E4D663EE19C}" srcOrd="3" destOrd="0" presId="urn:microsoft.com/office/officeart/2005/8/layout/radial3"/>
    <dgm:cxn modelId="{BAF6CF4F-9E6A-4902-923C-A3F01D95C237}" type="presParOf" srcId="{A6A4D161-C845-4630-B843-37FDFAFA439E}" destId="{A341F029-7297-499C-8A98-0D936F7AEE7B}" srcOrd="4" destOrd="0" presId="urn:microsoft.com/office/officeart/2005/8/layout/radial3"/>
    <dgm:cxn modelId="{BE30DE19-D7C9-4AC5-ADCE-4CEF72E63C6B}" type="presParOf" srcId="{A6A4D161-C845-4630-B843-37FDFAFA439E}" destId="{84DAD140-45D7-476A-A9A6-72ABD5DDE66C}" srcOrd="5" destOrd="0" presId="urn:microsoft.com/office/officeart/2005/8/layout/radial3"/>
    <dgm:cxn modelId="{82FB18BB-83D6-4C26-B517-2815E8639657}" type="presParOf" srcId="{A6A4D161-C845-4630-B843-37FDFAFA439E}" destId="{7689C41F-26FF-4BD4-9010-404E427C92CB}" srcOrd="6" destOrd="0" presId="urn:microsoft.com/office/officeart/2005/8/layout/radial3"/>
    <dgm:cxn modelId="{0062A88F-E30B-4DFF-9CD5-686A77074FB0}" type="presParOf" srcId="{A6A4D161-C845-4630-B843-37FDFAFA439E}" destId="{15354715-D3E2-417D-A84A-96E52C408F02}" srcOrd="7" destOrd="0" presId="urn:microsoft.com/office/officeart/2005/8/layout/radial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Tree>
</dsp:drawing>
</file>

<file path=xl/diagrams/layout1.xml><?xml version="1.0" encoding="utf-8"?>
<dgm:layoutDef xmlns:dgm="http://schemas.openxmlformats.org/drawingml/2006/diagram" xmlns:a="http://schemas.openxmlformats.org/drawingml/2006/main" uniqueId="urn:microsoft.com/office/officeart/2005/8/layout/list1">
  <dgm:title val=""/>
  <dgm:desc val=""/>
  <dgm:catLst>
    <dgm:cat type="list" pri="4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t modelId="2"/>
      </dgm:ptLst>
      <dgm:cxnLst>
        <dgm:cxn modelId="4" srcId="0" destId="1" srcOrd="0" destOrd="0"/>
        <dgm:cxn modelId="5"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linear">
    <dgm:varLst>
      <dgm:dir/>
      <dgm:animLvl val="lvl"/>
      <dgm:resizeHandles val="exact"/>
    </dgm:varLst>
    <dgm:choose name="Name0">
      <dgm:if name="Name1" func="var" arg="dir" op="equ" val="norm">
        <dgm:alg type="lin">
          <dgm:param type="linDir" val="fromT"/>
          <dgm:param type="vertAlign" val="mid"/>
          <dgm:param type="horzAlign" val="l"/>
          <dgm:param type="nodeHorzAlign" val="l"/>
        </dgm:alg>
      </dgm:if>
      <dgm:else name="Name2">
        <dgm:alg type="lin">
          <dgm:param type="linDir" val="fromT"/>
          <dgm:param type="vertAlign" val="mid"/>
          <dgm:param type="horzAlign" val="r"/>
          <dgm:param type="nodeHorzAlign" val="r"/>
        </dgm:alg>
      </dgm:else>
    </dgm:choose>
    <dgm:shape xmlns:r="http://schemas.openxmlformats.org/officeDocument/2006/relationships" r:blip="">
      <dgm:adjLst/>
    </dgm:shape>
    <dgm:presOf/>
    <dgm:constrLst>
      <dgm:constr type="w" for="ch" forName="parentLin" refType="w"/>
      <dgm:constr type="h" for="ch" forName="parentLin" val="INF"/>
      <dgm:constr type="w" for="des" forName="parentLeftMargin" refType="w" fact="0.05"/>
      <dgm:constr type="w" for="des" forName="parentText" refType="w" fact="0.7"/>
      <dgm:constr type="h" for="des" forName="parentText" refType="primFontSz" refFor="des" refForName="parentText" fact="0.82"/>
      <dgm:constr type="h" for="ch" forName="negativeSpace" refType="primFontSz" refFor="des" refForName="parentText" fact="-0.41"/>
      <dgm:constr type="h" for="ch" forName="negativeSpace" refType="h" refFor="des" refForName="parentText" op="lte" fact="-0.82"/>
      <dgm:constr type="h" for="ch" forName="negativeSpace" refType="h" refFor="des" refForName="parentText" op="gte" fact="-0.82"/>
      <dgm:constr type="w" for="ch" forName="childText" refType="w"/>
      <dgm:constr type="h" for="ch" forName="childText" refType="primFontSz" refFor="des" refForName="parentText" fact="0.7"/>
      <dgm:constr type="primFontSz" for="des" forName="parentText" val="65"/>
      <dgm:constr type="primFontSz" for="ch" forName="childText" refType="primFontSz" refFor="des" refForName="parentText"/>
      <dgm:constr type="tMarg" for="ch" forName="childText" refType="primFontSz" refFor="des" refForName="parentText" fact="1.64"/>
      <dgm:constr type="tMarg" for="ch" forName="childText" refType="h" refFor="des" refForName="parentText" op="lte" fact="3.28"/>
      <dgm:constr type="tMarg" for="ch" forName="childText" refType="h" refFor="des" refForName="parentText" op="gte" fact="3.28"/>
      <dgm:constr type="lMarg" for="ch" forName="childText" refType="w" fact="0.22"/>
      <dgm:constr type="rMarg" for="ch" forName="childText" refType="lMarg" refFor="ch" refForName="childText"/>
      <dgm:constr type="lMarg" for="des" forName="parentText" refType="w" fact="0.075"/>
      <dgm:constr type="rMarg" for="des" forName="parentText" refType="lMarg" refFor="des" refForName="parentText"/>
      <dgm:constr type="h" for="ch" forName="spaceBetweenRectangles" refType="primFontSz" refFor="des" refForName="parentText" fact="0.15"/>
    </dgm:constrLst>
    <dgm:ruleLst>
      <dgm:rule type="primFontSz" for="des" forName="parentText" val="5" fact="NaN" max="NaN"/>
    </dgm:ruleLst>
    <dgm:forEach name="Name3" axis="ch" ptType="node">
      <dgm:layoutNode name="parentLin">
        <dgm:choose name="Name4">
          <dgm:if name="Name5" func="var" arg="dir" op="equ" val="norm">
            <dgm:alg type="lin">
              <dgm:param type="linDir" val="fromL"/>
              <dgm:param type="horzAlign" val="l"/>
              <dgm:param type="nodeHorzAlign" val="l"/>
            </dgm:alg>
          </dgm:if>
          <dgm:else name="Name6">
            <dgm:alg type="lin">
              <dgm:param type="linDir" val="fromR"/>
              <dgm:param type="horzAlign" val="r"/>
              <dgm:param type="nodeHorzAlign" val="r"/>
            </dgm:alg>
          </dgm:else>
        </dgm:choose>
        <dgm:shape xmlns:r="http://schemas.openxmlformats.org/officeDocument/2006/relationships" r:blip="">
          <dgm:adjLst/>
        </dgm:shape>
        <dgm:presOf/>
        <dgm:constrLst/>
        <dgm:ruleLst/>
        <dgm:layoutNode name="parentLeftMargin">
          <dgm:alg type="sp"/>
          <dgm:shape xmlns:r="http://schemas.openxmlformats.org/officeDocument/2006/relationships" type="rect" r:blip="" hideGeom="1">
            <dgm:adjLst/>
          </dgm:shape>
          <dgm:presOf axis="self"/>
          <dgm:constrLst>
            <dgm:constr type="h"/>
          </dgm:constrLst>
          <dgm:ruleLst/>
        </dgm:layoutNode>
        <dgm:layoutNode name="parentText" styleLbl="node1">
          <dgm:varLst>
            <dgm:chMax val="0"/>
            <dgm:bulletEnabled val="1"/>
          </dgm:varLst>
          <dgm:choose name="Name7">
            <dgm:if name="Name8" func="var" arg="dir" op="equ" val="norm">
              <dgm:alg type="tx">
                <dgm:param type="parTxLTRAlign" val="l"/>
                <dgm:param type="parTxRTLAlign" val="l"/>
              </dgm:alg>
            </dgm:if>
            <dgm:else name="Name9">
              <dgm:alg type="tx">
                <dgm:param type="parTxLTRAlign" val="r"/>
                <dgm:param type="parTxRTLAlign" val="r"/>
              </dgm:alg>
            </dgm:else>
          </dgm:choose>
          <dgm:shape xmlns:r="http://schemas.openxmlformats.org/officeDocument/2006/relationships" type="roundRect" r:blip="">
            <dgm:adjLst/>
          </dgm:shape>
          <dgm:presOf axis="self" ptType="node"/>
          <dgm:constrLst>
            <dgm:constr type="tMarg"/>
            <dgm:constr type="bMarg"/>
          </dgm:constrLst>
          <dgm:ruleLst/>
        </dgm:layoutNode>
      </dgm:layoutNode>
      <dgm:layoutNode name="negativeSpace">
        <dgm:alg type="sp"/>
        <dgm:shape xmlns:r="http://schemas.openxmlformats.org/officeDocument/2006/relationships" r:blip="">
          <dgm:adjLst/>
        </dgm:shape>
        <dgm:presOf/>
        <dgm:constrLst/>
        <dgm:ruleLst/>
      </dgm:layoutNode>
      <dgm:layoutNode name="childText" styleLbl="conFgAcc1">
        <dgm:varLst>
          <dgm:bulletEnabled val="1"/>
        </dgm:varLst>
        <dgm:alg type="tx">
          <dgm:param type="stBulletLvl" val="1"/>
        </dgm:alg>
        <dgm:shape xmlns:r="http://schemas.openxmlformats.org/officeDocument/2006/relationships" type="rect" r:blip="" zOrderOff="-2">
          <dgm:adjLst/>
        </dgm:shape>
        <dgm:presOf axis="des" ptType="node"/>
        <dgm:constrLst>
          <dgm:constr type="secFontSz" refType="primFontSz"/>
        </dgm:constrLst>
        <dgm:ruleLst>
          <dgm:rule type="h" val="INF" fact="NaN" max="NaN"/>
        </dgm:ruleLst>
      </dgm:layoutNode>
      <dgm:forEach name="Name10" axis="followSib" ptType="sibTrans" cnt="1">
        <dgm:layoutNode name="spaceBetweenRectangles">
          <dgm:alg type="sp"/>
          <dgm:shape xmlns:r="http://schemas.openxmlformats.org/officeDocument/2006/relationships" r:blip="">
            <dgm:adjLst/>
          </dgm:shape>
          <dgm:presO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radial3">
  <dgm:title val=""/>
  <dgm:desc val=""/>
  <dgm:catLst>
    <dgm:cat type="relationship" pri="31000"/>
    <dgm:cat type="cycle" pri="12000"/>
  </dgm:catLst>
  <dgm:sampData>
    <dgm:dataModel>
      <dgm:ptLst>
        <dgm:pt modelId="0" type="doc"/>
        <dgm:pt modelId="1">
          <dgm:prSet phldr="1"/>
        </dgm:pt>
        <dgm:pt modelId="11">
          <dgm:prSet phldr="1"/>
        </dgm:pt>
        <dgm:pt modelId="12">
          <dgm:prSet phldr="1"/>
        </dgm:pt>
        <dgm:pt modelId="13">
          <dgm:prSet phldr="1"/>
        </dgm:pt>
        <dgm:pt modelId="14">
          <dgm:prSet phldr="1"/>
        </dgm:pt>
      </dgm:ptLst>
      <dgm:cxnLst>
        <dgm:cxn modelId="2" srcId="0" destId="1" srcOrd="0" destOrd="0"/>
        <dgm:cxn modelId="3" srcId="1" destId="11" srcOrd="0" destOrd="0"/>
        <dgm:cxn modelId="4" srcId="1" destId="12" srcOrd="1" destOrd="0"/>
        <dgm:cxn modelId="5" srcId="1" destId="13" srcOrd="2" destOrd="0"/>
        <dgm:cxn modelId="6" srcId="1" destId="14" srcOrd="3" destOrd="0"/>
      </dgm:cxnLst>
      <dgm:bg/>
      <dgm:whole/>
    </dgm:dataModel>
  </dgm:sampData>
  <dgm:styleData>
    <dgm:dataModel>
      <dgm:ptLst>
        <dgm:pt modelId="0" type="doc"/>
        <dgm:pt modelId="1"/>
        <dgm:pt modelId="11"/>
        <dgm:pt modelId="12"/>
        <dgm:pt modelId="13"/>
      </dgm:ptLst>
      <dgm:cxnLst>
        <dgm:cxn modelId="2" srcId="0" destId="1" srcOrd="0" destOrd="0"/>
        <dgm:cxn modelId="15" srcId="1" destId="11" srcOrd="0" destOrd="0"/>
        <dgm:cxn modelId="16" srcId="1" destId="12" srcOrd="1" destOrd="0"/>
        <dgm:cxn modelId="17" srcId="1" destId="13" srcOrd="2" destOrd="0"/>
      </dgm:cxnLst>
      <dgm:bg/>
      <dgm:whole/>
    </dgm:dataModel>
  </dgm:styleData>
  <dgm:clrData>
    <dgm:dataModel>
      <dgm:ptLst>
        <dgm:pt modelId="0" type="doc"/>
        <dgm:pt modelId="1"/>
        <dgm:pt modelId="11"/>
        <dgm:pt modelId="12"/>
        <dgm:pt modelId="13"/>
        <dgm:pt modelId="14"/>
        <dgm:pt modelId="15"/>
        <dgm:pt modelId="16"/>
      </dgm:ptLst>
      <dgm:cxnLst>
        <dgm:cxn modelId="2" srcId="0" destId="1" srcOrd="0" destOrd="0"/>
        <dgm:cxn modelId="16" srcId="1" destId="11" srcOrd="0" destOrd="0"/>
        <dgm:cxn modelId="17" srcId="1" destId="12" srcOrd="1" destOrd="0"/>
        <dgm:cxn modelId="18" srcId="1" destId="13" srcOrd="2" destOrd="0"/>
        <dgm:cxn modelId="19" srcId="1" destId="14" srcOrd="3" destOrd="0"/>
        <dgm:cxn modelId="20" srcId="1" destId="15" srcOrd="4" destOrd="0"/>
        <dgm:cxn modelId="21" srcId="1" destId="16" srcOrd="5" destOrd="0"/>
      </dgm:cxnLst>
      <dgm:bg/>
      <dgm:whole/>
    </dgm:dataModel>
  </dgm:clrData>
  <dgm:layoutNode name="composite">
    <dgm:varLst>
      <dgm:chMax val="1"/>
      <dgm:dir/>
      <dgm:resizeHandles val="exact"/>
    </dgm:varLst>
    <dgm:alg type="composite">
      <dgm:param type="ar" val="1"/>
    </dgm:alg>
    <dgm:shape xmlns:r="http://schemas.openxmlformats.org/officeDocument/2006/relationships" r:blip="">
      <dgm:adjLst/>
    </dgm:shape>
    <dgm:presOf/>
    <dgm:constrLst/>
    <dgm:ruleLst/>
    <dgm:layoutNode name="radial">
      <dgm:varLst>
        <dgm:animLvl val="ctr"/>
      </dgm:varLst>
      <dgm:choose name="Name0">
        <dgm:if name="Name1" func="var" arg="dir" op="equ" val="norm">
          <dgm:choose name="Name2">
            <dgm:if name="Name3" axis="ch ch" ptType="node node" st="1 1" cnt="1 0" func="cnt" op="lte" val="1">
              <dgm:alg type="cycle">
                <dgm:param type="stAng" val="90"/>
                <dgm:param type="spanAng" val="360"/>
                <dgm:param type="ctrShpMap" val="fNode"/>
              </dgm:alg>
            </dgm:if>
            <dgm:else name="Name4">
              <dgm:alg type="cycle">
                <dgm:param type="stAng" val="0"/>
                <dgm:param type="spanAng" val="360"/>
                <dgm:param type="ctrShpMap" val="fNode"/>
              </dgm:alg>
            </dgm:else>
          </dgm:choose>
        </dgm:if>
        <dgm:else name="Name5">
          <dgm:alg type="cycle">
            <dgm:param type="stAng" val="0"/>
            <dgm:param type="spanAng" val="-360"/>
            <dgm:param type="ctrShpMap" val="fNode"/>
          </dgm:alg>
        </dgm:else>
      </dgm:choose>
      <dgm:shape xmlns:r="http://schemas.openxmlformats.org/officeDocument/2006/relationships" r:blip="">
        <dgm:adjLst/>
      </dgm:shape>
      <dgm:presOf/>
      <dgm:constrLst>
        <dgm:constr type="w" for="ch" forName="centerShape" refType="w"/>
        <dgm:constr type="h" for="ch" forName="centerShape" refType="h"/>
        <dgm:constr type="w" for="ch" forName="node" refType="w" fact="0.5"/>
        <dgm:constr type="h" for="ch" forName="node" refType="h" fact="0.5"/>
        <dgm:constr type="sp" refType="w" refFor="ch" refForName="node" fact="-0.2"/>
        <dgm:constr type="sibSp" refType="w" refFor="ch" refForName="node" fact="-0.2"/>
        <dgm:constr type="primFontSz" for="ch" forName="centerShape" val="65"/>
        <dgm:constr type="primFontSz" for="des" forName="node" val="65"/>
        <dgm:constr type="primFontSz" for="ch" forName="node" refType="primFontSz" refFor="ch" refForName="centerShape" op="lte"/>
      </dgm:constrLst>
      <dgm:ruleLst/>
      <dgm:forEach name="Name6" axis="ch" ptType="node" cnt="1">
        <dgm:layoutNode name="centerShape" styleLbl="vennNode1">
          <dgm:alg type="tx"/>
          <dgm:shape xmlns:r="http://schemas.openxmlformats.org/officeDocument/2006/relationships" type="ellipse" r:blip="">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7" axis="ch" ptType="node">
          <dgm:layoutNode name="node" styleLbl="vennNode1">
            <dgm:varLst>
              <dgm:bulletEnabled val="1"/>
            </dgm:varLst>
            <dgm:alg type="tx">
              <dgm:param type="txAnchorVertCh" val="mid"/>
            </dgm:alg>
            <dgm:shape xmlns:r="http://schemas.openxmlformats.org/officeDocument/2006/relationships" type="ellipse" r:blip="">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hyperlink" Target="#Acknowledgments!A1"/><Relationship Id="rId3" Type="http://schemas.openxmlformats.org/officeDocument/2006/relationships/hyperlink" Target="http://vgbc.vn/" TargetMode="External"/><Relationship Id="rId7" Type="http://schemas.openxmlformats.org/officeDocument/2006/relationships/hyperlink" Target="#'LOTUS Homes Scorecard'!L2"/><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png"/><Relationship Id="rId5" Type="http://schemas.openxmlformats.org/officeDocument/2006/relationships/hyperlink" Target="#Introduction!M3"/><Relationship Id="rId4" Type="http://schemas.openxmlformats.org/officeDocument/2006/relationships/image" Target="../media/image2.jpeg"/></Relationships>
</file>

<file path=xl/drawings/_rels/drawing10.xml.rels><?xml version="1.0" encoding="UTF-8" standalone="yes"?>
<Relationships xmlns="http://schemas.openxmlformats.org/package/2006/relationships"><Relationship Id="rId8" Type="http://schemas.openxmlformats.org/officeDocument/2006/relationships/hyperlink" Target="#Water!K2"/><Relationship Id="rId13" Type="http://schemas.openxmlformats.org/officeDocument/2006/relationships/image" Target="../media/image56.png"/><Relationship Id="rId18" Type="http://schemas.openxmlformats.org/officeDocument/2006/relationships/hyperlink" Target="#Innovation!K2"/><Relationship Id="rId3" Type="http://schemas.openxmlformats.org/officeDocument/2006/relationships/diagramQuickStyle" Target="../diagrams/quickStyle2.xml"/><Relationship Id="rId21" Type="http://schemas.openxmlformats.org/officeDocument/2006/relationships/hyperlink" Target="#Introduction!M3"/><Relationship Id="rId7" Type="http://schemas.openxmlformats.org/officeDocument/2006/relationships/image" Target="../media/image53.png"/><Relationship Id="rId12" Type="http://schemas.openxmlformats.org/officeDocument/2006/relationships/hyperlink" Target="#'Health &amp; Comfort'!K2"/><Relationship Id="rId17" Type="http://schemas.openxmlformats.org/officeDocument/2006/relationships/image" Target="../media/image58.png"/><Relationship Id="rId2" Type="http://schemas.openxmlformats.org/officeDocument/2006/relationships/diagramLayout" Target="../diagrams/layout2.xml"/><Relationship Id="rId16" Type="http://schemas.openxmlformats.org/officeDocument/2006/relationships/hyperlink" Target="#'Community &amp; Management'!K2"/><Relationship Id="rId20" Type="http://schemas.openxmlformats.org/officeDocument/2006/relationships/hyperlink" Target="#Instructions!M4"/><Relationship Id="rId1" Type="http://schemas.openxmlformats.org/officeDocument/2006/relationships/diagramData" Target="../diagrams/data2.xml"/><Relationship Id="rId6" Type="http://schemas.openxmlformats.org/officeDocument/2006/relationships/hyperlink" Target="#Energy!K2"/><Relationship Id="rId11" Type="http://schemas.openxmlformats.org/officeDocument/2006/relationships/image" Target="../media/image55.png"/><Relationship Id="rId24" Type="http://schemas.openxmlformats.org/officeDocument/2006/relationships/hyperlink" Target="#'Graphical Results'!J10"/><Relationship Id="rId5" Type="http://schemas.microsoft.com/office/2007/relationships/diagramDrawing" Target="../diagrams/drawing2.xml"/><Relationship Id="rId15" Type="http://schemas.openxmlformats.org/officeDocument/2006/relationships/image" Target="../media/image57.png"/><Relationship Id="rId23" Type="http://schemas.openxmlformats.org/officeDocument/2006/relationships/image" Target="../media/image2.jpeg"/><Relationship Id="rId10" Type="http://schemas.openxmlformats.org/officeDocument/2006/relationships/hyperlink" Target="#Materials!K2"/><Relationship Id="rId19" Type="http://schemas.openxmlformats.org/officeDocument/2006/relationships/image" Target="../media/image59.png"/><Relationship Id="rId4" Type="http://schemas.openxmlformats.org/officeDocument/2006/relationships/diagramColors" Target="../diagrams/colors2.xml"/><Relationship Id="rId9" Type="http://schemas.openxmlformats.org/officeDocument/2006/relationships/image" Target="../media/image54.png"/><Relationship Id="rId14" Type="http://schemas.openxmlformats.org/officeDocument/2006/relationships/hyperlink" Target="#'Local Environment'!K2"/><Relationship Id="rId22" Type="http://schemas.openxmlformats.org/officeDocument/2006/relationships/hyperlink" Target="http://vgbc.org.vn/" TargetMode="External"/></Relationships>
</file>

<file path=xl/drawings/_rels/drawing1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hyperlink" Target="#Introduction!M3"/><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Instructions!M4"/><Relationship Id="rId5" Type="http://schemas.openxmlformats.org/officeDocument/2006/relationships/hyperlink" Target="#'LOTUS Homes Scorecard'!L2"/><Relationship Id="rId4" Type="http://schemas.openxmlformats.org/officeDocument/2006/relationships/chart" Target="../charts/chart4.xml"/></Relationships>
</file>

<file path=xl/drawings/_rels/drawing13.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hyperlink" Target="#'LOTUS Homes Scorecard'!L2"/></Relationships>
</file>

<file path=xl/drawings/_rels/drawing14.xml.rels><?xml version="1.0" encoding="UTF-8" standalone="yes"?>
<Relationships xmlns="http://schemas.openxmlformats.org/package/2006/relationships"><Relationship Id="rId8" Type="http://schemas.openxmlformats.org/officeDocument/2006/relationships/image" Target="../media/image62.png"/><Relationship Id="rId13" Type="http://schemas.openxmlformats.org/officeDocument/2006/relationships/image" Target="../media/image66.png"/><Relationship Id="rId3" Type="http://schemas.openxmlformats.org/officeDocument/2006/relationships/hyperlink" Target="#'E-1 Passive Design'!A77:M144"/><Relationship Id="rId7" Type="http://schemas.openxmlformats.org/officeDocument/2006/relationships/image" Target="../media/image61.png"/><Relationship Id="rId12" Type="http://schemas.openxmlformats.org/officeDocument/2006/relationships/hyperlink" Target="#'E-1 Passive Design'!A9"/><Relationship Id="rId2" Type="http://schemas.openxmlformats.org/officeDocument/2006/relationships/hyperlink" Target="#'E-1 Passive Design'!A49:M76"/><Relationship Id="rId1" Type="http://schemas.openxmlformats.org/officeDocument/2006/relationships/hyperlink" Target="#'E-1 Passive Design'!A17:M48"/><Relationship Id="rId6" Type="http://schemas.openxmlformats.org/officeDocument/2006/relationships/image" Target="../media/image60.png"/><Relationship Id="rId11" Type="http://schemas.openxmlformats.org/officeDocument/2006/relationships/image" Target="../media/image65.png"/><Relationship Id="rId5" Type="http://schemas.openxmlformats.org/officeDocument/2006/relationships/hyperlink" Target="#'LOTUS Homes Scorecard'!L2"/><Relationship Id="rId10" Type="http://schemas.openxmlformats.org/officeDocument/2006/relationships/image" Target="../media/image64.png"/><Relationship Id="rId4" Type="http://schemas.openxmlformats.org/officeDocument/2006/relationships/hyperlink" Target="#Energy!K2"/><Relationship Id="rId9" Type="http://schemas.openxmlformats.org/officeDocument/2006/relationships/image" Target="../media/image63.png"/><Relationship Id="rId14" Type="http://schemas.openxmlformats.org/officeDocument/2006/relationships/hyperlink" Target="#Resources!A3:R61"/></Relationships>
</file>

<file path=xl/drawings/_rels/drawing15.xml.rels><?xml version="1.0" encoding="UTF-8" standalone="yes"?>
<Relationships xmlns="http://schemas.openxmlformats.org/package/2006/relationships"><Relationship Id="rId8" Type="http://schemas.openxmlformats.org/officeDocument/2006/relationships/image" Target="../media/image69.png"/><Relationship Id="rId13" Type="http://schemas.openxmlformats.org/officeDocument/2006/relationships/hyperlink" Target="#'E-2 Building Envelope'!A174:N208"/><Relationship Id="rId18" Type="http://schemas.openxmlformats.org/officeDocument/2006/relationships/image" Target="../media/image70.png"/><Relationship Id="rId3" Type="http://schemas.openxmlformats.org/officeDocument/2006/relationships/hyperlink" Target="#'E-2 Building Envelope'!A170:M301"/><Relationship Id="rId7" Type="http://schemas.openxmlformats.org/officeDocument/2006/relationships/image" Target="../media/image68.png"/><Relationship Id="rId12" Type="http://schemas.openxmlformats.org/officeDocument/2006/relationships/hyperlink" Target="#'E-2 Building Envelope'!A129:N169"/><Relationship Id="rId17" Type="http://schemas.openxmlformats.org/officeDocument/2006/relationships/image" Target="../media/image64.png"/><Relationship Id="rId2" Type="http://schemas.openxmlformats.org/officeDocument/2006/relationships/hyperlink" Target="#'E-2 Building Envelope'!A26:M115"/><Relationship Id="rId16" Type="http://schemas.openxmlformats.org/officeDocument/2006/relationships/image" Target="../media/image62.png"/><Relationship Id="rId20" Type="http://schemas.openxmlformats.org/officeDocument/2006/relationships/hyperlink" Target="#'E-2 Building Envelope'!A9"/><Relationship Id="rId1" Type="http://schemas.openxmlformats.org/officeDocument/2006/relationships/hyperlink" Target="#Energy!K2"/><Relationship Id="rId6" Type="http://schemas.openxmlformats.org/officeDocument/2006/relationships/image" Target="../media/image67.png"/><Relationship Id="rId11" Type="http://schemas.openxmlformats.org/officeDocument/2006/relationships/hyperlink" Target="#'E-2 Building Envelope'!A96:N128"/><Relationship Id="rId5" Type="http://schemas.openxmlformats.org/officeDocument/2006/relationships/image" Target="../media/image63.png"/><Relationship Id="rId15" Type="http://schemas.openxmlformats.org/officeDocument/2006/relationships/hyperlink" Target="#'E-2 Building Envelope'!A261:N301"/><Relationship Id="rId10" Type="http://schemas.openxmlformats.org/officeDocument/2006/relationships/hyperlink" Target="#'E-2 Building Envelope'!A63:N95"/><Relationship Id="rId19" Type="http://schemas.openxmlformats.org/officeDocument/2006/relationships/hyperlink" Target="#Resources!A3:R41"/><Relationship Id="rId4" Type="http://schemas.openxmlformats.org/officeDocument/2006/relationships/hyperlink" Target="#'LOTUS Homes Scorecard'!L2"/><Relationship Id="rId9" Type="http://schemas.openxmlformats.org/officeDocument/2006/relationships/hyperlink" Target="#'E-2 Building Envelope'!A30:N62"/><Relationship Id="rId14" Type="http://schemas.openxmlformats.org/officeDocument/2006/relationships/hyperlink" Target="#'E-2 Building Envelope'!A209:N260"/></Relationships>
</file>

<file path=xl/drawings/_rels/drawing16.xml.rels><?xml version="1.0" encoding="UTF-8" standalone="yes"?>
<Relationships xmlns="http://schemas.openxmlformats.org/package/2006/relationships"><Relationship Id="rId8" Type="http://schemas.openxmlformats.org/officeDocument/2006/relationships/hyperlink" Target="#'E-3 Home Cooling'!A173:N215"/><Relationship Id="rId13" Type="http://schemas.openxmlformats.org/officeDocument/2006/relationships/image" Target="../media/image67.png"/><Relationship Id="rId3" Type="http://schemas.openxmlformats.org/officeDocument/2006/relationships/hyperlink" Target="#Energy!K2"/><Relationship Id="rId7" Type="http://schemas.openxmlformats.org/officeDocument/2006/relationships/image" Target="../media/image71.png"/><Relationship Id="rId12" Type="http://schemas.openxmlformats.org/officeDocument/2006/relationships/image" Target="../media/image61.png"/><Relationship Id="rId2" Type="http://schemas.openxmlformats.org/officeDocument/2006/relationships/hyperlink" Target="#'E-3 Home Cooling'!A169:N274"/><Relationship Id="rId1" Type="http://schemas.openxmlformats.org/officeDocument/2006/relationships/hyperlink" Target="#'E-3 Home Cooling'!A38:N168"/><Relationship Id="rId6" Type="http://schemas.openxmlformats.org/officeDocument/2006/relationships/hyperlink" Target="#'E-3 Home Cooling'!A101:N167"/><Relationship Id="rId11" Type="http://schemas.openxmlformats.org/officeDocument/2006/relationships/image" Target="../media/image65.png"/><Relationship Id="rId5" Type="http://schemas.openxmlformats.org/officeDocument/2006/relationships/hyperlink" Target="#'E-3 Home Cooling'!A42:N100"/><Relationship Id="rId15" Type="http://schemas.openxmlformats.org/officeDocument/2006/relationships/hyperlink" Target="#'E-3 Home Cooling'!A9"/><Relationship Id="rId10" Type="http://schemas.openxmlformats.org/officeDocument/2006/relationships/image" Target="../media/image63.png"/><Relationship Id="rId4" Type="http://schemas.openxmlformats.org/officeDocument/2006/relationships/hyperlink" Target="#'LOTUS Homes Scorecard'!L2"/><Relationship Id="rId9" Type="http://schemas.openxmlformats.org/officeDocument/2006/relationships/hyperlink" Target="#'E-3 Home Cooling'!A216:M276"/><Relationship Id="rId14" Type="http://schemas.openxmlformats.org/officeDocument/2006/relationships/image" Target="../media/image72.png"/></Relationships>
</file>

<file path=xl/drawings/_rels/drawing17.xml.rels><?xml version="1.0" encoding="UTF-8" standalone="yes"?>
<Relationships xmlns="http://schemas.openxmlformats.org/package/2006/relationships"><Relationship Id="rId8" Type="http://schemas.openxmlformats.org/officeDocument/2006/relationships/image" Target="../media/image72.png"/><Relationship Id="rId3" Type="http://schemas.openxmlformats.org/officeDocument/2006/relationships/hyperlink" Target="#'E-4 Artificial Lighting'!A22:K65"/><Relationship Id="rId7" Type="http://schemas.openxmlformats.org/officeDocument/2006/relationships/image" Target="../media/image63.png"/><Relationship Id="rId2" Type="http://schemas.openxmlformats.org/officeDocument/2006/relationships/hyperlink" Target="#'LOTUS Homes Scorecard'!L2"/><Relationship Id="rId1" Type="http://schemas.openxmlformats.org/officeDocument/2006/relationships/hyperlink" Target="#Energy!K2"/><Relationship Id="rId6" Type="http://schemas.openxmlformats.org/officeDocument/2006/relationships/image" Target="../media/image61.png"/><Relationship Id="rId5" Type="http://schemas.openxmlformats.org/officeDocument/2006/relationships/image" Target="../media/image62.png"/><Relationship Id="rId10" Type="http://schemas.openxmlformats.org/officeDocument/2006/relationships/hyperlink" Target="#'E-4 Artificial Lighting'!A9"/><Relationship Id="rId4" Type="http://schemas.openxmlformats.org/officeDocument/2006/relationships/hyperlink" Target="#'E-4 Artificial Lighting'!A66:K116"/><Relationship Id="rId9" Type="http://schemas.openxmlformats.org/officeDocument/2006/relationships/image" Target="../media/image64.png"/></Relationships>
</file>

<file path=xl/drawings/_rels/drawing18.xml.rels><?xml version="1.0" encoding="UTF-8" standalone="yes"?>
<Relationships xmlns="http://schemas.openxmlformats.org/package/2006/relationships"><Relationship Id="rId3" Type="http://schemas.openxmlformats.org/officeDocument/2006/relationships/hyperlink" Target="#Energy!K2"/><Relationship Id="rId7" Type="http://schemas.openxmlformats.org/officeDocument/2006/relationships/hyperlink" Target="#'E-5 Water Heating'!A9"/><Relationship Id="rId2" Type="http://schemas.openxmlformats.org/officeDocument/2006/relationships/hyperlink" Target="#'E-5 Water heating'!A41:S93"/><Relationship Id="rId1" Type="http://schemas.openxmlformats.org/officeDocument/2006/relationships/hyperlink" Target="#'E-5 Water heating'!A17:K40"/><Relationship Id="rId6" Type="http://schemas.openxmlformats.org/officeDocument/2006/relationships/image" Target="../media/image63.png"/><Relationship Id="rId5" Type="http://schemas.openxmlformats.org/officeDocument/2006/relationships/image" Target="../media/image61.png"/><Relationship Id="rId4" Type="http://schemas.openxmlformats.org/officeDocument/2006/relationships/hyperlink" Target="#'LOTUS Homes Scorecard'!L2"/></Relationships>
</file>

<file path=xl/drawings/_rels/drawing19.xml.rels><?xml version="1.0" encoding="UTF-8" standalone="yes"?>
<Relationships xmlns="http://schemas.openxmlformats.org/package/2006/relationships"><Relationship Id="rId3" Type="http://schemas.openxmlformats.org/officeDocument/2006/relationships/image" Target="../media/image70.png"/><Relationship Id="rId7" Type="http://schemas.openxmlformats.org/officeDocument/2006/relationships/hyperlink" Target="#'E-6 Energy Efficient Appliances'!A9"/><Relationship Id="rId2" Type="http://schemas.openxmlformats.org/officeDocument/2006/relationships/hyperlink" Target="#'LOTUS Homes Scorecard'!L2"/><Relationship Id="rId1" Type="http://schemas.openxmlformats.org/officeDocument/2006/relationships/hyperlink" Target="#Energy!K2"/><Relationship Id="rId6" Type="http://schemas.openxmlformats.org/officeDocument/2006/relationships/image" Target="../media/image74.png"/><Relationship Id="rId5" Type="http://schemas.openxmlformats.org/officeDocument/2006/relationships/image" Target="../media/image73.png"/><Relationship Id="rId4" Type="http://schemas.openxmlformats.org/officeDocument/2006/relationships/image" Target="../media/image64.png"/></Relationships>
</file>

<file path=xl/drawings/_rels/drawing2.xml.rels><?xml version="1.0" encoding="UTF-8" standalone="yes"?>
<Relationships xmlns="http://schemas.openxmlformats.org/package/2006/relationships"><Relationship Id="rId13" Type="http://schemas.openxmlformats.org/officeDocument/2006/relationships/image" Target="../media/image8.png"/><Relationship Id="rId18" Type="http://schemas.openxmlformats.org/officeDocument/2006/relationships/image" Target="../media/image11.png"/><Relationship Id="rId26" Type="http://schemas.openxmlformats.org/officeDocument/2006/relationships/image" Target="../media/image15.png"/><Relationship Id="rId39" Type="http://schemas.openxmlformats.org/officeDocument/2006/relationships/image" Target="../media/image22.png"/><Relationship Id="rId21" Type="http://schemas.openxmlformats.org/officeDocument/2006/relationships/hyperlink" Target="http://www.greenviet.net/" TargetMode="External"/><Relationship Id="rId34" Type="http://schemas.openxmlformats.org/officeDocument/2006/relationships/image" Target="../media/image19.jpeg"/><Relationship Id="rId42" Type="http://schemas.openxmlformats.org/officeDocument/2006/relationships/hyperlink" Target="http://www.ecowool.com.my/" TargetMode="External"/><Relationship Id="rId47" Type="http://schemas.openxmlformats.org/officeDocument/2006/relationships/image" Target="../media/image26.jpeg"/><Relationship Id="rId50" Type="http://schemas.openxmlformats.org/officeDocument/2006/relationships/hyperlink" Target="http://www.vn.undp.org/" TargetMode="External"/><Relationship Id="rId55" Type="http://schemas.openxmlformats.org/officeDocument/2006/relationships/hyperlink" Target="http://www.iesve.com/" TargetMode="External"/><Relationship Id="rId63" Type="http://schemas.openxmlformats.org/officeDocument/2006/relationships/image" Target="../media/image34.jpeg"/><Relationship Id="rId68" Type="http://schemas.openxmlformats.org/officeDocument/2006/relationships/hyperlink" Target="http://www.fico.com.vn/" TargetMode="External"/><Relationship Id="rId7" Type="http://schemas.openxmlformats.org/officeDocument/2006/relationships/image" Target="../media/image5.jpeg"/><Relationship Id="rId71" Type="http://schemas.openxmlformats.org/officeDocument/2006/relationships/hyperlink" Target="http://tekcom.vn/" TargetMode="External"/><Relationship Id="rId2" Type="http://schemas.openxmlformats.org/officeDocument/2006/relationships/hyperlink" Target="#Instructions!M4"/><Relationship Id="rId16" Type="http://schemas.openxmlformats.org/officeDocument/2006/relationships/hyperlink" Target="http://www.vilandco.com/" TargetMode="External"/><Relationship Id="rId29" Type="http://schemas.openxmlformats.org/officeDocument/2006/relationships/hyperlink" Target="http://www.arteliagroup.com/" TargetMode="External"/><Relationship Id="rId1" Type="http://schemas.openxmlformats.org/officeDocument/2006/relationships/hyperlink" Target="#'LOTUS Homes Scorecard'!W1"/><Relationship Id="rId6" Type="http://schemas.openxmlformats.org/officeDocument/2006/relationships/hyperlink" Target="http://www.graphenstone.vn/" TargetMode="External"/><Relationship Id="rId11" Type="http://schemas.openxmlformats.org/officeDocument/2006/relationships/image" Target="../media/image7.png"/><Relationship Id="rId24" Type="http://schemas.openxmlformats.org/officeDocument/2006/relationships/image" Target="../media/image14.png"/><Relationship Id="rId32" Type="http://schemas.openxmlformats.org/officeDocument/2006/relationships/image" Target="../media/image18.png"/><Relationship Id="rId37" Type="http://schemas.openxmlformats.org/officeDocument/2006/relationships/hyperlink" Target="http://www.kone.vn/" TargetMode="External"/><Relationship Id="rId40" Type="http://schemas.openxmlformats.org/officeDocument/2006/relationships/hyperlink" Target="http://www.http/poongcheon-group.com" TargetMode="External"/><Relationship Id="rId45" Type="http://schemas.openxmlformats.org/officeDocument/2006/relationships/image" Target="../media/image25.jpeg"/><Relationship Id="rId53" Type="http://schemas.openxmlformats.org/officeDocument/2006/relationships/hyperlink" Target="http://www.master-builders-solutions.basf.vn/" TargetMode="External"/><Relationship Id="rId58" Type="http://schemas.openxmlformats.org/officeDocument/2006/relationships/image" Target="../media/image31.png"/><Relationship Id="rId66" Type="http://schemas.openxmlformats.org/officeDocument/2006/relationships/image" Target="../media/image36.png"/><Relationship Id="rId5" Type="http://schemas.openxmlformats.org/officeDocument/2006/relationships/image" Target="../media/image4.png"/><Relationship Id="rId15" Type="http://schemas.openxmlformats.org/officeDocument/2006/relationships/image" Target="../media/image9.png"/><Relationship Id="rId23" Type="http://schemas.openxmlformats.org/officeDocument/2006/relationships/hyperlink" Target="http://searefico.com/" TargetMode="External"/><Relationship Id="rId28" Type="http://schemas.openxmlformats.org/officeDocument/2006/relationships/image" Target="../media/image16.png"/><Relationship Id="rId36" Type="http://schemas.openxmlformats.org/officeDocument/2006/relationships/image" Target="../media/image20.png"/><Relationship Id="rId49" Type="http://schemas.openxmlformats.org/officeDocument/2006/relationships/image" Target="../media/image27.png"/><Relationship Id="rId57" Type="http://schemas.openxmlformats.org/officeDocument/2006/relationships/hyperlink" Target="http://www.reeme.com.vn/" TargetMode="External"/><Relationship Id="rId61" Type="http://schemas.openxmlformats.org/officeDocument/2006/relationships/hyperlink" Target="http://www.seas.com.vn/en/" TargetMode="External"/><Relationship Id="rId10" Type="http://schemas.openxmlformats.org/officeDocument/2006/relationships/hyperlink" Target="http://www.saint-gobain.com/" TargetMode="External"/><Relationship Id="rId19" Type="http://schemas.openxmlformats.org/officeDocument/2006/relationships/hyperlink" Target="http://www.bluescope.com.vn/" TargetMode="External"/><Relationship Id="rId31" Type="http://schemas.openxmlformats.org/officeDocument/2006/relationships/hyperlink" Target="http://www.boydensvn.com/" TargetMode="External"/><Relationship Id="rId44" Type="http://schemas.openxmlformats.org/officeDocument/2006/relationships/hyperlink" Target="http://www.ptw.com.au/" TargetMode="External"/><Relationship Id="rId52" Type="http://schemas.openxmlformats.org/officeDocument/2006/relationships/hyperlink" Target="http://acsc.com.vn/gioi-thieu.html" TargetMode="External"/><Relationship Id="rId60" Type="http://schemas.openxmlformats.org/officeDocument/2006/relationships/image" Target="../media/image32.png"/><Relationship Id="rId65" Type="http://schemas.openxmlformats.org/officeDocument/2006/relationships/hyperlink" Target="http://www.hkland.com/" TargetMode="External"/><Relationship Id="rId4" Type="http://schemas.openxmlformats.org/officeDocument/2006/relationships/hyperlink" Target="http://www.bciasia.com/" TargetMode="External"/><Relationship Id="rId9" Type="http://schemas.openxmlformats.org/officeDocument/2006/relationships/image" Target="../media/image6.png"/><Relationship Id="rId14" Type="http://schemas.openxmlformats.org/officeDocument/2006/relationships/hyperlink" Target="http://www.vicostone.com/" TargetMode="External"/><Relationship Id="rId22" Type="http://schemas.openxmlformats.org/officeDocument/2006/relationships/image" Target="../media/image13.png"/><Relationship Id="rId27" Type="http://schemas.openxmlformats.org/officeDocument/2006/relationships/hyperlink" Target="http://www.vnm.sika.com/" TargetMode="External"/><Relationship Id="rId30" Type="http://schemas.openxmlformats.org/officeDocument/2006/relationships/image" Target="../media/image17.png"/><Relationship Id="rId35" Type="http://schemas.openxmlformats.org/officeDocument/2006/relationships/hyperlink" Target="http://vn.grundfos.com/" TargetMode="External"/><Relationship Id="rId43" Type="http://schemas.openxmlformats.org/officeDocument/2006/relationships/image" Target="../media/image24.png"/><Relationship Id="rId48" Type="http://schemas.openxmlformats.org/officeDocument/2006/relationships/hyperlink" Target="http://www.tranevietnam.com/" TargetMode="External"/><Relationship Id="rId56" Type="http://schemas.openxmlformats.org/officeDocument/2006/relationships/image" Target="../media/image30.png"/><Relationship Id="rId64" Type="http://schemas.openxmlformats.org/officeDocument/2006/relationships/image" Target="../media/image35.png"/><Relationship Id="rId69" Type="http://schemas.openxmlformats.org/officeDocument/2006/relationships/image" Target="../media/image38.jpeg"/><Relationship Id="rId8" Type="http://schemas.openxmlformats.org/officeDocument/2006/relationships/hyperlink" Target="http://www.greenconsult-asia.com/" TargetMode="External"/><Relationship Id="rId51" Type="http://schemas.openxmlformats.org/officeDocument/2006/relationships/image" Target="../media/image28.png"/><Relationship Id="rId72" Type="http://schemas.openxmlformats.org/officeDocument/2006/relationships/image" Target="../media/image40.jpeg"/><Relationship Id="rId3" Type="http://schemas.openxmlformats.org/officeDocument/2006/relationships/hyperlink" Target="#Introduction!M3"/><Relationship Id="rId12" Type="http://schemas.openxmlformats.org/officeDocument/2006/relationships/hyperlink" Target="http://www.phuckhang.vn/" TargetMode="External"/><Relationship Id="rId17" Type="http://schemas.openxmlformats.org/officeDocument/2006/relationships/image" Target="../media/image10.png"/><Relationship Id="rId25" Type="http://schemas.openxmlformats.org/officeDocument/2006/relationships/hyperlink" Target="http://www.spcc.com.vn/" TargetMode="External"/><Relationship Id="rId33" Type="http://schemas.openxmlformats.org/officeDocument/2006/relationships/hyperlink" Target="http://bumatech.vn/" TargetMode="External"/><Relationship Id="rId38" Type="http://schemas.openxmlformats.org/officeDocument/2006/relationships/image" Target="../media/image21.png"/><Relationship Id="rId46" Type="http://schemas.openxmlformats.org/officeDocument/2006/relationships/hyperlink" Target="http://tanphatlong.com.vn/" TargetMode="External"/><Relationship Id="rId59" Type="http://schemas.openxmlformats.org/officeDocument/2006/relationships/hyperlink" Target="https://www.royalhaskoningdhv.com/en/vietnam" TargetMode="External"/><Relationship Id="rId67" Type="http://schemas.openxmlformats.org/officeDocument/2006/relationships/image" Target="../media/image37.jpeg"/><Relationship Id="rId20" Type="http://schemas.openxmlformats.org/officeDocument/2006/relationships/image" Target="../media/image12.png"/><Relationship Id="rId41" Type="http://schemas.openxmlformats.org/officeDocument/2006/relationships/image" Target="../media/image23.png"/><Relationship Id="rId54" Type="http://schemas.openxmlformats.org/officeDocument/2006/relationships/image" Target="../media/image29.png"/><Relationship Id="rId62" Type="http://schemas.openxmlformats.org/officeDocument/2006/relationships/image" Target="../media/image33.png"/><Relationship Id="rId70" Type="http://schemas.openxmlformats.org/officeDocument/2006/relationships/image" Target="../media/image39.jpeg"/></Relationships>
</file>

<file path=xl/drawings/_rels/drawing20.xml.rels><?xml version="1.0" encoding="UTF-8" standalone="yes"?>
<Relationships xmlns="http://schemas.openxmlformats.org/package/2006/relationships"><Relationship Id="rId3" Type="http://schemas.openxmlformats.org/officeDocument/2006/relationships/image" Target="../media/image67.png"/><Relationship Id="rId2" Type="http://schemas.openxmlformats.org/officeDocument/2006/relationships/hyperlink" Target="#'LOTUS Homes Scorecard'!L2"/><Relationship Id="rId1" Type="http://schemas.openxmlformats.org/officeDocument/2006/relationships/hyperlink" Target="#Energy!K2"/><Relationship Id="rId6" Type="http://schemas.openxmlformats.org/officeDocument/2006/relationships/hyperlink" Target="#'E-7 Energy Monitors '!A9"/><Relationship Id="rId5" Type="http://schemas.openxmlformats.org/officeDocument/2006/relationships/image" Target="../media/image63.png"/><Relationship Id="rId4" Type="http://schemas.openxmlformats.org/officeDocument/2006/relationships/image" Target="../media/image62.png"/></Relationships>
</file>

<file path=xl/drawings/_rels/drawing21.xml.rels><?xml version="1.0" encoding="UTF-8" standalone="yes"?>
<Relationships xmlns="http://schemas.openxmlformats.org/package/2006/relationships"><Relationship Id="rId8" Type="http://schemas.openxmlformats.org/officeDocument/2006/relationships/image" Target="../media/image62.png"/><Relationship Id="rId3" Type="http://schemas.openxmlformats.org/officeDocument/2006/relationships/hyperlink" Target="#'Energy BPC'!A15:K41"/><Relationship Id="rId7" Type="http://schemas.openxmlformats.org/officeDocument/2006/relationships/image" Target="../media/image61.png"/><Relationship Id="rId2" Type="http://schemas.openxmlformats.org/officeDocument/2006/relationships/hyperlink" Target="#'LOTUS Homes Scorecard'!L2"/><Relationship Id="rId1" Type="http://schemas.openxmlformats.org/officeDocument/2006/relationships/hyperlink" Target="#Energy!K2"/><Relationship Id="rId6" Type="http://schemas.openxmlformats.org/officeDocument/2006/relationships/image" Target="../media/image63.png"/><Relationship Id="rId5" Type="http://schemas.openxmlformats.org/officeDocument/2006/relationships/hyperlink" Target="#'Energy BPC'!A67:K98"/><Relationship Id="rId10" Type="http://schemas.openxmlformats.org/officeDocument/2006/relationships/hyperlink" Target="#'Energy BPC'!A8"/><Relationship Id="rId4" Type="http://schemas.openxmlformats.org/officeDocument/2006/relationships/hyperlink" Target="#'Energy BPC'!A42:K66"/><Relationship Id="rId9" Type="http://schemas.openxmlformats.org/officeDocument/2006/relationships/image" Target="../media/image75.png"/></Relationships>
</file>

<file path=xl/drawings/_rels/drawing22.xml.rels><?xml version="1.0" encoding="UTF-8" standalone="yes"?>
<Relationships xmlns="http://schemas.openxmlformats.org/package/2006/relationships"><Relationship Id="rId2" Type="http://schemas.openxmlformats.org/officeDocument/2006/relationships/hyperlink" Target="#'LOTUS Homes Scorecard'!L2"/><Relationship Id="rId1" Type="http://schemas.openxmlformats.org/officeDocument/2006/relationships/image" Target="../media/image54.png"/></Relationships>
</file>

<file path=xl/drawings/_rels/drawing23.xml.rels><?xml version="1.0" encoding="UTF-8" standalone="yes"?>
<Relationships xmlns="http://schemas.openxmlformats.org/package/2006/relationships"><Relationship Id="rId8" Type="http://schemas.openxmlformats.org/officeDocument/2006/relationships/hyperlink" Target="#'W-1 Water Efficient Fixtures'!A9"/><Relationship Id="rId3" Type="http://schemas.openxmlformats.org/officeDocument/2006/relationships/hyperlink" Target="#'W-1 Water Efficient Fixtures'!A22:J88"/><Relationship Id="rId7" Type="http://schemas.openxmlformats.org/officeDocument/2006/relationships/image" Target="../media/image78.png"/><Relationship Id="rId2" Type="http://schemas.openxmlformats.org/officeDocument/2006/relationships/hyperlink" Target="#'LOTUS Homes Scorecard'!L2"/><Relationship Id="rId1" Type="http://schemas.openxmlformats.org/officeDocument/2006/relationships/hyperlink" Target="#Water!K2"/><Relationship Id="rId6" Type="http://schemas.openxmlformats.org/officeDocument/2006/relationships/image" Target="../media/image77.png"/><Relationship Id="rId5" Type="http://schemas.openxmlformats.org/officeDocument/2006/relationships/image" Target="../media/image76.png"/><Relationship Id="rId4" Type="http://schemas.openxmlformats.org/officeDocument/2006/relationships/hyperlink" Target="#'W-1 Water Efficient Fixtures'!A89:J165"/></Relationships>
</file>

<file path=xl/drawings/_rels/drawing24.xml.rels><?xml version="1.0" encoding="UTF-8" standalone="yes"?>
<Relationships xmlns="http://schemas.openxmlformats.org/package/2006/relationships"><Relationship Id="rId8" Type="http://schemas.openxmlformats.org/officeDocument/2006/relationships/image" Target="../media/image77.png"/><Relationship Id="rId3" Type="http://schemas.openxmlformats.org/officeDocument/2006/relationships/hyperlink" Target="#'W-2 Water Efficient Landscaping'!A20:P90"/><Relationship Id="rId7" Type="http://schemas.openxmlformats.org/officeDocument/2006/relationships/image" Target="../media/image79.png"/><Relationship Id="rId2" Type="http://schemas.openxmlformats.org/officeDocument/2006/relationships/hyperlink" Target="#Water!K2"/><Relationship Id="rId1" Type="http://schemas.openxmlformats.org/officeDocument/2006/relationships/hyperlink" Target="#'LOTUS Homes Scorecard'!L2"/><Relationship Id="rId6" Type="http://schemas.openxmlformats.org/officeDocument/2006/relationships/image" Target="../media/image76.png"/><Relationship Id="rId5" Type="http://schemas.openxmlformats.org/officeDocument/2006/relationships/hyperlink" Target="#Resources!A62:R76"/><Relationship Id="rId10" Type="http://schemas.openxmlformats.org/officeDocument/2006/relationships/hyperlink" Target="#'W-2 Water Efficient Landscaping'!A9"/><Relationship Id="rId4" Type="http://schemas.openxmlformats.org/officeDocument/2006/relationships/hyperlink" Target="#'W-2 Water Efficient Landscaping'!A91:P160"/><Relationship Id="rId9" Type="http://schemas.openxmlformats.org/officeDocument/2006/relationships/image" Target="../media/image78.png"/></Relationships>
</file>

<file path=xl/drawings/_rels/drawing25.xml.rels><?xml version="1.0" encoding="UTF-8" standalone="yes"?>
<Relationships xmlns="http://schemas.openxmlformats.org/package/2006/relationships"><Relationship Id="rId3" Type="http://schemas.openxmlformats.org/officeDocument/2006/relationships/image" Target="../media/image77.png"/><Relationship Id="rId2" Type="http://schemas.openxmlformats.org/officeDocument/2006/relationships/hyperlink" Target="#'LOTUS Homes Scorecard'!L2"/><Relationship Id="rId1" Type="http://schemas.openxmlformats.org/officeDocument/2006/relationships/hyperlink" Target="#Water!K2"/><Relationship Id="rId5" Type="http://schemas.openxmlformats.org/officeDocument/2006/relationships/hyperlink" Target="#'W-3 Drinking Water '!A9"/><Relationship Id="rId4" Type="http://schemas.openxmlformats.org/officeDocument/2006/relationships/image" Target="../media/image78.png"/></Relationships>
</file>

<file path=xl/drawings/_rels/drawing26.xml.rels><?xml version="1.0" encoding="UTF-8" standalone="yes"?>
<Relationships xmlns="http://schemas.openxmlformats.org/package/2006/relationships"><Relationship Id="rId8" Type="http://schemas.openxmlformats.org/officeDocument/2006/relationships/image" Target="../media/image76.png"/><Relationship Id="rId3" Type="http://schemas.openxmlformats.org/officeDocument/2006/relationships/hyperlink" Target="#'Water BPC'!A16:J50"/><Relationship Id="rId7" Type="http://schemas.openxmlformats.org/officeDocument/2006/relationships/image" Target="../media/image78.png"/><Relationship Id="rId2" Type="http://schemas.openxmlformats.org/officeDocument/2006/relationships/hyperlink" Target="#'LOTUS Homes Scorecard'!W1"/><Relationship Id="rId1" Type="http://schemas.openxmlformats.org/officeDocument/2006/relationships/hyperlink" Target="#Water!K2"/><Relationship Id="rId6" Type="http://schemas.openxmlformats.org/officeDocument/2006/relationships/image" Target="../media/image80.png"/><Relationship Id="rId5" Type="http://schemas.openxmlformats.org/officeDocument/2006/relationships/hyperlink" Target="#'Water BPC'!A78:L110"/><Relationship Id="rId10" Type="http://schemas.openxmlformats.org/officeDocument/2006/relationships/hyperlink" Target="#'Water BPC'!A8"/><Relationship Id="rId4" Type="http://schemas.openxmlformats.org/officeDocument/2006/relationships/hyperlink" Target="#'Water BPC'!A51:L76"/><Relationship Id="rId9" Type="http://schemas.openxmlformats.org/officeDocument/2006/relationships/image" Target="../media/image79.png"/></Relationships>
</file>

<file path=xl/drawings/_rels/drawing27.xml.rels><?xml version="1.0" encoding="UTF-8" standalone="yes"?>
<Relationships xmlns="http://schemas.openxmlformats.org/package/2006/relationships"><Relationship Id="rId2" Type="http://schemas.openxmlformats.org/officeDocument/2006/relationships/hyperlink" Target="#'LOTUS Homes Scorecard'!L2"/><Relationship Id="rId1" Type="http://schemas.openxmlformats.org/officeDocument/2006/relationships/image" Target="../media/image55.png"/></Relationships>
</file>

<file path=xl/drawings/_rels/drawing28.xml.rels><?xml version="1.0" encoding="UTF-8" standalone="yes"?>
<Relationships xmlns="http://schemas.openxmlformats.org/package/2006/relationships"><Relationship Id="rId3" Type="http://schemas.openxmlformats.org/officeDocument/2006/relationships/image" Target="../media/image81.png"/><Relationship Id="rId7" Type="http://schemas.openxmlformats.org/officeDocument/2006/relationships/hyperlink" Target="#'M-1 Structure Materials'!A9"/><Relationship Id="rId2" Type="http://schemas.openxmlformats.org/officeDocument/2006/relationships/hyperlink" Target="#'LOTUS Homes Scorecard'!L2"/><Relationship Id="rId1" Type="http://schemas.openxmlformats.org/officeDocument/2006/relationships/hyperlink" Target="#Materials!K2"/><Relationship Id="rId6" Type="http://schemas.openxmlformats.org/officeDocument/2006/relationships/image" Target="../media/image84.png"/><Relationship Id="rId5" Type="http://schemas.openxmlformats.org/officeDocument/2006/relationships/image" Target="../media/image83.png"/><Relationship Id="rId4" Type="http://schemas.openxmlformats.org/officeDocument/2006/relationships/image" Target="../media/image82.png"/></Relationships>
</file>

<file path=xl/drawings/_rels/drawing29.xml.rels><?xml version="1.0" encoding="UTF-8" standalone="yes"?>
<Relationships xmlns="http://schemas.openxmlformats.org/package/2006/relationships"><Relationship Id="rId8" Type="http://schemas.openxmlformats.org/officeDocument/2006/relationships/hyperlink" Target="#'M-2 Non-structural Walls'!A9"/><Relationship Id="rId3" Type="http://schemas.openxmlformats.org/officeDocument/2006/relationships/image" Target="../media/image81.png"/><Relationship Id="rId7" Type="http://schemas.openxmlformats.org/officeDocument/2006/relationships/image" Target="../media/image82.png"/><Relationship Id="rId2" Type="http://schemas.openxmlformats.org/officeDocument/2006/relationships/hyperlink" Target="#Materials!K2"/><Relationship Id="rId1" Type="http://schemas.openxmlformats.org/officeDocument/2006/relationships/hyperlink" Target="#'LOTUS Homes Scorecard'!L2"/><Relationship Id="rId6" Type="http://schemas.openxmlformats.org/officeDocument/2006/relationships/image" Target="../media/image85.png"/><Relationship Id="rId5" Type="http://schemas.openxmlformats.org/officeDocument/2006/relationships/image" Target="../media/image84.png"/><Relationship Id="rId4" Type="http://schemas.openxmlformats.org/officeDocument/2006/relationships/image" Target="../media/image83.png"/></Relationships>
</file>

<file path=xl/drawings/_rels/drawing3.xml.rels><?xml version="1.0" encoding="UTF-8" standalone="yes"?>
<Relationships xmlns="http://schemas.openxmlformats.org/package/2006/relationships"><Relationship Id="rId8" Type="http://schemas.openxmlformats.org/officeDocument/2006/relationships/image" Target="../media/image43.png"/><Relationship Id="rId3" Type="http://schemas.openxmlformats.org/officeDocument/2006/relationships/hyperlink" Target="#Recommendations!M4"/><Relationship Id="rId7" Type="http://schemas.openxmlformats.org/officeDocument/2006/relationships/hyperlink" Target="#'Graphical Results'!C8"/><Relationship Id="rId2" Type="http://schemas.openxmlformats.org/officeDocument/2006/relationships/image" Target="../media/image42.emf"/><Relationship Id="rId1" Type="http://schemas.openxmlformats.org/officeDocument/2006/relationships/image" Target="../media/image41.emf"/><Relationship Id="rId6" Type="http://schemas.openxmlformats.org/officeDocument/2006/relationships/hyperlink" Target="#'Project information'!A1"/><Relationship Id="rId5" Type="http://schemas.openxmlformats.org/officeDocument/2006/relationships/hyperlink" Target="#Instructions!M4"/><Relationship Id="rId10" Type="http://schemas.openxmlformats.org/officeDocument/2006/relationships/hyperlink" Target="#Introduction!B8"/><Relationship Id="rId4" Type="http://schemas.openxmlformats.org/officeDocument/2006/relationships/hyperlink" Target="#'LOTUS Homes Scorecard'!L2"/><Relationship Id="rId9" Type="http://schemas.openxmlformats.org/officeDocument/2006/relationships/hyperlink" Target="#Glossary!A1"/></Relationships>
</file>

<file path=xl/drawings/_rels/drawing30.xml.rels><?xml version="1.0" encoding="UTF-8" standalone="yes"?>
<Relationships xmlns="http://schemas.openxmlformats.org/package/2006/relationships"><Relationship Id="rId3" Type="http://schemas.openxmlformats.org/officeDocument/2006/relationships/image" Target="../media/image83.png"/><Relationship Id="rId7" Type="http://schemas.openxmlformats.org/officeDocument/2006/relationships/hyperlink" Target="#'M-3 Windows and Doors'!A9"/><Relationship Id="rId2" Type="http://schemas.openxmlformats.org/officeDocument/2006/relationships/hyperlink" Target="#Materials!K2"/><Relationship Id="rId1" Type="http://schemas.openxmlformats.org/officeDocument/2006/relationships/hyperlink" Target="#'LOTUS Homes Scorecard'!L2"/><Relationship Id="rId6" Type="http://schemas.openxmlformats.org/officeDocument/2006/relationships/image" Target="../media/image82.png"/><Relationship Id="rId5" Type="http://schemas.openxmlformats.org/officeDocument/2006/relationships/image" Target="../media/image81.png"/><Relationship Id="rId4" Type="http://schemas.openxmlformats.org/officeDocument/2006/relationships/image" Target="../media/image84.png"/></Relationships>
</file>

<file path=xl/drawings/_rels/drawing31.xml.rels><?xml version="1.0" encoding="UTF-8" standalone="yes"?>
<Relationships xmlns="http://schemas.openxmlformats.org/package/2006/relationships"><Relationship Id="rId8" Type="http://schemas.openxmlformats.org/officeDocument/2006/relationships/hyperlink" Target="#'M-4 Flooring Materials'!A9"/><Relationship Id="rId3" Type="http://schemas.openxmlformats.org/officeDocument/2006/relationships/image" Target="../media/image81.png"/><Relationship Id="rId7" Type="http://schemas.openxmlformats.org/officeDocument/2006/relationships/image" Target="../media/image82.png"/><Relationship Id="rId2" Type="http://schemas.openxmlformats.org/officeDocument/2006/relationships/hyperlink" Target="#Materials!K2"/><Relationship Id="rId1" Type="http://schemas.openxmlformats.org/officeDocument/2006/relationships/hyperlink" Target="#'LOTUS Homes Scorecard'!L2"/><Relationship Id="rId6" Type="http://schemas.openxmlformats.org/officeDocument/2006/relationships/image" Target="../media/image85.png"/><Relationship Id="rId5" Type="http://schemas.openxmlformats.org/officeDocument/2006/relationships/image" Target="../media/image83.png"/><Relationship Id="rId4" Type="http://schemas.openxmlformats.org/officeDocument/2006/relationships/image" Target="../media/image84.png"/></Relationships>
</file>

<file path=xl/drawings/_rels/drawing32.xml.rels><?xml version="1.0" encoding="UTF-8" standalone="yes"?>
<Relationships xmlns="http://schemas.openxmlformats.org/package/2006/relationships"><Relationship Id="rId8" Type="http://schemas.openxmlformats.org/officeDocument/2006/relationships/hyperlink" Target="#'M-5 Roofing Materials'!A9"/><Relationship Id="rId3" Type="http://schemas.openxmlformats.org/officeDocument/2006/relationships/image" Target="../media/image84.png"/><Relationship Id="rId7" Type="http://schemas.openxmlformats.org/officeDocument/2006/relationships/image" Target="../media/image85.png"/><Relationship Id="rId2" Type="http://schemas.openxmlformats.org/officeDocument/2006/relationships/hyperlink" Target="#Materials!K2"/><Relationship Id="rId1" Type="http://schemas.openxmlformats.org/officeDocument/2006/relationships/hyperlink" Target="#'LOTUS Homes Scorecard'!L2"/><Relationship Id="rId6" Type="http://schemas.openxmlformats.org/officeDocument/2006/relationships/image" Target="../media/image81.png"/><Relationship Id="rId5" Type="http://schemas.openxmlformats.org/officeDocument/2006/relationships/image" Target="../media/image83.png"/><Relationship Id="rId4" Type="http://schemas.openxmlformats.org/officeDocument/2006/relationships/image" Target="../media/image82.png"/></Relationships>
</file>

<file path=xl/drawings/_rels/drawing33.xml.rels><?xml version="1.0" encoding="UTF-8" standalone="yes"?>
<Relationships xmlns="http://schemas.openxmlformats.org/package/2006/relationships"><Relationship Id="rId3" Type="http://schemas.openxmlformats.org/officeDocument/2006/relationships/image" Target="../media/image84.png"/><Relationship Id="rId7" Type="http://schemas.openxmlformats.org/officeDocument/2006/relationships/hyperlink" Target="#'M-6 Furniture'!A9"/><Relationship Id="rId2" Type="http://schemas.openxmlformats.org/officeDocument/2006/relationships/hyperlink" Target="#Materials!K2"/><Relationship Id="rId1" Type="http://schemas.openxmlformats.org/officeDocument/2006/relationships/hyperlink" Target="#'LOTUS Homes Scorecard'!L2"/><Relationship Id="rId6" Type="http://schemas.openxmlformats.org/officeDocument/2006/relationships/image" Target="../media/image86.png"/><Relationship Id="rId5" Type="http://schemas.openxmlformats.org/officeDocument/2006/relationships/image" Target="../media/image83.png"/><Relationship Id="rId4" Type="http://schemas.openxmlformats.org/officeDocument/2006/relationships/image" Target="../media/image82.png"/></Relationships>
</file>

<file path=xl/drawings/_rels/drawing34.xml.rels><?xml version="1.0" encoding="UTF-8" standalone="yes"?>
<Relationships xmlns="http://schemas.openxmlformats.org/package/2006/relationships"><Relationship Id="rId2" Type="http://schemas.openxmlformats.org/officeDocument/2006/relationships/hyperlink" Target="#'LOTUS Homes Scorecard'!L2"/><Relationship Id="rId1" Type="http://schemas.openxmlformats.org/officeDocument/2006/relationships/image" Target="../media/image56.png"/></Relationships>
</file>

<file path=xl/drawings/_rels/drawing35.xml.rels><?xml version="1.0" encoding="UTF-8" standalone="yes"?>
<Relationships xmlns="http://schemas.openxmlformats.org/package/2006/relationships"><Relationship Id="rId3" Type="http://schemas.openxmlformats.org/officeDocument/2006/relationships/hyperlink" Target="#'H-1 Fresh Air Supply'!A9"/><Relationship Id="rId7" Type="http://schemas.openxmlformats.org/officeDocument/2006/relationships/image" Target="../media/image88.png"/><Relationship Id="rId2" Type="http://schemas.openxmlformats.org/officeDocument/2006/relationships/hyperlink" Target="#'LOTUS Homes Scorecard'!L2"/><Relationship Id="rId1" Type="http://schemas.openxmlformats.org/officeDocument/2006/relationships/hyperlink" Target="#'Health &amp; Comfort'!K2"/><Relationship Id="rId6" Type="http://schemas.openxmlformats.org/officeDocument/2006/relationships/image" Target="../media/image44.png"/><Relationship Id="rId5" Type="http://schemas.openxmlformats.org/officeDocument/2006/relationships/image" Target="../media/image87.png"/><Relationship Id="rId4" Type="http://schemas.openxmlformats.org/officeDocument/2006/relationships/image" Target="../media/image52.png"/></Relationships>
</file>

<file path=xl/drawings/_rels/drawing36.xml.rels><?xml version="1.0" encoding="UTF-8" standalone="yes"?>
<Relationships xmlns="http://schemas.openxmlformats.org/package/2006/relationships"><Relationship Id="rId3" Type="http://schemas.openxmlformats.org/officeDocument/2006/relationships/image" Target="../media/image89.png"/><Relationship Id="rId2" Type="http://schemas.openxmlformats.org/officeDocument/2006/relationships/hyperlink" Target="#'LOTUS Homes Scorecard'!L2"/><Relationship Id="rId1" Type="http://schemas.openxmlformats.org/officeDocument/2006/relationships/hyperlink" Target="#'Health &amp; Comfort'!S50"/><Relationship Id="rId6" Type="http://schemas.openxmlformats.org/officeDocument/2006/relationships/hyperlink" Target="#'H-2 Ventilation in wet areas'!A9"/><Relationship Id="rId5" Type="http://schemas.openxmlformats.org/officeDocument/2006/relationships/image" Target="../media/image47.png"/><Relationship Id="rId4" Type="http://schemas.openxmlformats.org/officeDocument/2006/relationships/image" Target="../media/image44.png"/></Relationships>
</file>

<file path=xl/drawings/_rels/drawing37.xml.rels><?xml version="1.0" encoding="UTF-8" standalone="yes"?>
<Relationships xmlns="http://schemas.openxmlformats.org/package/2006/relationships"><Relationship Id="rId8" Type="http://schemas.openxmlformats.org/officeDocument/2006/relationships/image" Target="../media/image52.png"/><Relationship Id="rId13" Type="http://schemas.openxmlformats.org/officeDocument/2006/relationships/image" Target="../media/image48.png"/><Relationship Id="rId3" Type="http://schemas.openxmlformats.org/officeDocument/2006/relationships/hyperlink" Target="#'H-3 Low-VOC Emissions '!A26:A60"/><Relationship Id="rId7" Type="http://schemas.openxmlformats.org/officeDocument/2006/relationships/image" Target="../media/image87.png"/><Relationship Id="rId12" Type="http://schemas.openxmlformats.org/officeDocument/2006/relationships/hyperlink" Target="#'H-3 Low-VOC Emissions '!A174:A209"/><Relationship Id="rId2" Type="http://schemas.openxmlformats.org/officeDocument/2006/relationships/hyperlink" Target="#'LOTUS Homes Scorecard'!L2"/><Relationship Id="rId1" Type="http://schemas.openxmlformats.org/officeDocument/2006/relationships/hyperlink" Target="#'Health &amp; Comfort'!K2"/><Relationship Id="rId6" Type="http://schemas.openxmlformats.org/officeDocument/2006/relationships/hyperlink" Target="#'H-3 Low-VOC Emissions '!A132:A173"/><Relationship Id="rId11" Type="http://schemas.openxmlformats.org/officeDocument/2006/relationships/hyperlink" Target="#'H-3 Low-VOC Emissions '!A19:A25"/><Relationship Id="rId5" Type="http://schemas.openxmlformats.org/officeDocument/2006/relationships/hyperlink" Target="#'H-3 Low-VOC Emissions '!A96:A131"/><Relationship Id="rId10" Type="http://schemas.openxmlformats.org/officeDocument/2006/relationships/hyperlink" Target="#'H-3 Low-VOC Emissions '!A9"/><Relationship Id="rId4" Type="http://schemas.openxmlformats.org/officeDocument/2006/relationships/hyperlink" Target="#'H-3 Low-VOC Emissions '!A61:A95"/><Relationship Id="rId9" Type="http://schemas.openxmlformats.org/officeDocument/2006/relationships/image" Target="../media/image44.png"/></Relationships>
</file>

<file path=xl/drawings/_rels/drawing38.xml.rels><?xml version="1.0" encoding="UTF-8" standalone="yes"?>
<Relationships xmlns="http://schemas.openxmlformats.org/package/2006/relationships"><Relationship Id="rId8" Type="http://schemas.openxmlformats.org/officeDocument/2006/relationships/image" Target="../media/image44.png"/><Relationship Id="rId13" Type="http://schemas.openxmlformats.org/officeDocument/2006/relationships/hyperlink" Target="#'H-4 Daylighting'!A9"/><Relationship Id="rId3" Type="http://schemas.openxmlformats.org/officeDocument/2006/relationships/hyperlink" Target="#'H-4 Daylighting'!A26:R95"/><Relationship Id="rId7" Type="http://schemas.openxmlformats.org/officeDocument/2006/relationships/hyperlink" Target="#Resources!A77:R102"/><Relationship Id="rId12" Type="http://schemas.openxmlformats.org/officeDocument/2006/relationships/image" Target="../media/image52.png"/><Relationship Id="rId2" Type="http://schemas.openxmlformats.org/officeDocument/2006/relationships/hyperlink" Target="#'LOTUS Homes Scorecard'!L2"/><Relationship Id="rId1" Type="http://schemas.openxmlformats.org/officeDocument/2006/relationships/hyperlink" Target="#'Health &amp; Comfort'!K2"/><Relationship Id="rId6" Type="http://schemas.openxmlformats.org/officeDocument/2006/relationships/image" Target="../media/image91.png"/><Relationship Id="rId11" Type="http://schemas.openxmlformats.org/officeDocument/2006/relationships/image" Target="../media/image46.png"/><Relationship Id="rId5" Type="http://schemas.openxmlformats.org/officeDocument/2006/relationships/image" Target="../media/image90.png"/><Relationship Id="rId10" Type="http://schemas.openxmlformats.org/officeDocument/2006/relationships/image" Target="../media/image92.png"/><Relationship Id="rId4" Type="http://schemas.openxmlformats.org/officeDocument/2006/relationships/hyperlink" Target="#'H-4 Daylighting'!A96:R135"/><Relationship Id="rId9" Type="http://schemas.openxmlformats.org/officeDocument/2006/relationships/image" Target="../media/image45.png"/></Relationships>
</file>

<file path=xl/drawings/_rels/drawing39.xml.rels><?xml version="1.0" encoding="UTF-8" standalone="yes"?>
<Relationships xmlns="http://schemas.openxmlformats.org/package/2006/relationships"><Relationship Id="rId8" Type="http://schemas.openxmlformats.org/officeDocument/2006/relationships/hyperlink" Target="#'H-5 Acoustic Comfort'!A9"/><Relationship Id="rId3" Type="http://schemas.openxmlformats.org/officeDocument/2006/relationships/image" Target="../media/image93.png"/><Relationship Id="rId7" Type="http://schemas.openxmlformats.org/officeDocument/2006/relationships/image" Target="../media/image92.png"/><Relationship Id="rId2" Type="http://schemas.openxmlformats.org/officeDocument/2006/relationships/hyperlink" Target="#'LOTUS Homes Scorecard'!L2"/><Relationship Id="rId1" Type="http://schemas.openxmlformats.org/officeDocument/2006/relationships/hyperlink" Target="#'Health &amp; Comfort'!K2"/><Relationship Id="rId6" Type="http://schemas.openxmlformats.org/officeDocument/2006/relationships/image" Target="../media/image44.png"/><Relationship Id="rId5" Type="http://schemas.openxmlformats.org/officeDocument/2006/relationships/image" Target="../media/image45.png"/><Relationship Id="rId4" Type="http://schemas.openxmlformats.org/officeDocument/2006/relationships/image" Target="../media/image89.png"/></Relationships>
</file>

<file path=xl/drawings/_rels/drawing4.xml.rels><?xml version="1.0" encoding="UTF-8" standalone="yes"?>
<Relationships xmlns="http://schemas.openxmlformats.org/package/2006/relationships"><Relationship Id="rId8" Type="http://schemas.openxmlformats.org/officeDocument/2006/relationships/diagramLayout" Target="../diagrams/layout1.xml"/><Relationship Id="rId13" Type="http://schemas.openxmlformats.org/officeDocument/2006/relationships/hyperlink" Target="#'Certification stage checklist '!A1"/><Relationship Id="rId18" Type="http://schemas.openxmlformats.org/officeDocument/2006/relationships/image" Target="../media/image48.png"/><Relationship Id="rId3" Type="http://schemas.openxmlformats.org/officeDocument/2006/relationships/hyperlink" Target="#'LOTUS Homes Scorecard'!L2"/><Relationship Id="rId7" Type="http://schemas.openxmlformats.org/officeDocument/2006/relationships/diagramData" Target="../diagrams/data1.xml"/><Relationship Id="rId12" Type="http://schemas.openxmlformats.org/officeDocument/2006/relationships/hyperlink" Target="#'Pre-assessment checklist'!W1"/><Relationship Id="rId17" Type="http://schemas.openxmlformats.org/officeDocument/2006/relationships/image" Target="../media/image47.png"/><Relationship Id="rId2" Type="http://schemas.openxmlformats.org/officeDocument/2006/relationships/hyperlink" Target="#Recommendations!M4"/><Relationship Id="rId16" Type="http://schemas.openxmlformats.org/officeDocument/2006/relationships/image" Target="../media/image46.png"/><Relationship Id="rId1" Type="http://schemas.openxmlformats.org/officeDocument/2006/relationships/hyperlink" Target="#Feedback!A1"/><Relationship Id="rId6" Type="http://schemas.openxmlformats.org/officeDocument/2006/relationships/hyperlink" Target="#Introduction!M3"/><Relationship Id="rId11" Type="http://schemas.microsoft.com/office/2007/relationships/diagramDrawing" Target="../diagrams/drawing1.xml"/><Relationship Id="rId5" Type="http://schemas.openxmlformats.org/officeDocument/2006/relationships/hyperlink" Target="#'Graphical Results'!C8"/><Relationship Id="rId15" Type="http://schemas.openxmlformats.org/officeDocument/2006/relationships/image" Target="../media/image45.png"/><Relationship Id="rId10" Type="http://schemas.openxmlformats.org/officeDocument/2006/relationships/diagramColors" Target="../diagrams/colors1.xml"/><Relationship Id="rId19" Type="http://schemas.openxmlformats.org/officeDocument/2006/relationships/hyperlink" Target="#Glossary!A1"/><Relationship Id="rId4" Type="http://schemas.openxmlformats.org/officeDocument/2006/relationships/hyperlink" Target="#'Project information'!A1"/><Relationship Id="rId9" Type="http://schemas.openxmlformats.org/officeDocument/2006/relationships/diagramQuickStyle" Target="../diagrams/quickStyle1.xml"/><Relationship Id="rId14" Type="http://schemas.openxmlformats.org/officeDocument/2006/relationships/image" Target="../media/image44.png"/></Relationships>
</file>

<file path=xl/drawings/_rels/drawing40.xml.rels><?xml version="1.0" encoding="UTF-8" standalone="yes"?>
<Relationships xmlns="http://schemas.openxmlformats.org/package/2006/relationships"><Relationship Id="rId8" Type="http://schemas.openxmlformats.org/officeDocument/2006/relationships/image" Target="../media/image44.png"/><Relationship Id="rId3" Type="http://schemas.openxmlformats.org/officeDocument/2006/relationships/hyperlink" Target="#'H&amp;C BPC'!A16:L75"/><Relationship Id="rId7" Type="http://schemas.openxmlformats.org/officeDocument/2006/relationships/image" Target="../media/image87.png"/><Relationship Id="rId2" Type="http://schemas.openxmlformats.org/officeDocument/2006/relationships/hyperlink" Target="#'LOTUS Homes Scorecard'!L2"/><Relationship Id="rId1" Type="http://schemas.openxmlformats.org/officeDocument/2006/relationships/hyperlink" Target="#'Health &amp; Comfort'!K2"/><Relationship Id="rId6" Type="http://schemas.openxmlformats.org/officeDocument/2006/relationships/image" Target="../media/image94.png"/><Relationship Id="rId5" Type="http://schemas.openxmlformats.org/officeDocument/2006/relationships/hyperlink" Target="#'H&amp;C BPC'!A122:L159"/><Relationship Id="rId10" Type="http://schemas.openxmlformats.org/officeDocument/2006/relationships/hyperlink" Target="#'H&amp;C BPC'!A8"/><Relationship Id="rId4" Type="http://schemas.openxmlformats.org/officeDocument/2006/relationships/hyperlink" Target="#'H&amp;C BPC'!A76:L121"/><Relationship Id="rId9" Type="http://schemas.openxmlformats.org/officeDocument/2006/relationships/image" Target="../media/image50.png"/></Relationships>
</file>

<file path=xl/drawings/_rels/drawing41.xml.rels><?xml version="1.0" encoding="UTF-8" standalone="yes"?>
<Relationships xmlns="http://schemas.openxmlformats.org/package/2006/relationships"><Relationship Id="rId2" Type="http://schemas.openxmlformats.org/officeDocument/2006/relationships/hyperlink" Target="#'LOTUS Homes Scorecard'!L2"/><Relationship Id="rId1" Type="http://schemas.openxmlformats.org/officeDocument/2006/relationships/image" Target="../media/image57.png"/></Relationships>
</file>

<file path=xl/drawings/_rels/drawing42.xml.rels><?xml version="1.0" encoding="UTF-8" standalone="yes"?>
<Relationships xmlns="http://schemas.openxmlformats.org/package/2006/relationships"><Relationship Id="rId8" Type="http://schemas.openxmlformats.org/officeDocument/2006/relationships/image" Target="../media/image96.png"/><Relationship Id="rId3" Type="http://schemas.openxmlformats.org/officeDocument/2006/relationships/hyperlink" Target="#'LE-1 Site Selection'!A58:M81"/><Relationship Id="rId7" Type="http://schemas.openxmlformats.org/officeDocument/2006/relationships/image" Target="../media/image95.png"/><Relationship Id="rId2" Type="http://schemas.openxmlformats.org/officeDocument/2006/relationships/hyperlink" Target="#'LE-1 Site Selection'!A18:M57"/><Relationship Id="rId1" Type="http://schemas.openxmlformats.org/officeDocument/2006/relationships/hyperlink" Target="#'Local Environment'!K2"/><Relationship Id="rId6" Type="http://schemas.openxmlformats.org/officeDocument/2006/relationships/hyperlink" Target="#'LOTUS Homes Scorecard'!L2"/><Relationship Id="rId5" Type="http://schemas.openxmlformats.org/officeDocument/2006/relationships/hyperlink" Target="#'LE-1 Site Selection'!A104:M142"/><Relationship Id="rId10" Type="http://schemas.openxmlformats.org/officeDocument/2006/relationships/hyperlink" Target="#'LE-1 Site Selection'!A9"/><Relationship Id="rId4" Type="http://schemas.openxmlformats.org/officeDocument/2006/relationships/hyperlink" Target="#'LE-1 Site Selection'!A82:M103"/><Relationship Id="rId9" Type="http://schemas.openxmlformats.org/officeDocument/2006/relationships/image" Target="../media/image97.png"/></Relationships>
</file>

<file path=xl/drawings/_rels/drawing43.xml.rels><?xml version="1.0" encoding="UTF-8" standalone="yes"?>
<Relationships xmlns="http://schemas.openxmlformats.org/package/2006/relationships"><Relationship Id="rId8" Type="http://schemas.openxmlformats.org/officeDocument/2006/relationships/image" Target="../media/image96.png"/><Relationship Id="rId3" Type="http://schemas.openxmlformats.org/officeDocument/2006/relationships/hyperlink" Target="#'LOTUS Homes Scorecard'!L2"/><Relationship Id="rId7" Type="http://schemas.openxmlformats.org/officeDocument/2006/relationships/image" Target="../media/image98.png"/><Relationship Id="rId2" Type="http://schemas.openxmlformats.org/officeDocument/2006/relationships/hyperlink" Target="#'Local Environment'!K2"/><Relationship Id="rId1" Type="http://schemas.openxmlformats.org/officeDocument/2006/relationships/hyperlink" Target="#Resources!A93:R133"/><Relationship Id="rId6" Type="http://schemas.openxmlformats.org/officeDocument/2006/relationships/image" Target="../media/image95.png"/><Relationship Id="rId5" Type="http://schemas.openxmlformats.org/officeDocument/2006/relationships/hyperlink" Target="#'LE-2 Site design'!A65:K92"/><Relationship Id="rId4" Type="http://schemas.openxmlformats.org/officeDocument/2006/relationships/hyperlink" Target="#'LE-2 Site design'!A16:K64"/><Relationship Id="rId9" Type="http://schemas.openxmlformats.org/officeDocument/2006/relationships/hyperlink" Target="#'LE-2 Site design'!A9"/></Relationships>
</file>

<file path=xl/drawings/_rels/drawing44.xml.rels><?xml version="1.0" encoding="UTF-8" standalone="yes"?>
<Relationships xmlns="http://schemas.openxmlformats.org/package/2006/relationships"><Relationship Id="rId8" Type="http://schemas.openxmlformats.org/officeDocument/2006/relationships/hyperlink" Target="#'LE-3 Vegetation'!A9"/><Relationship Id="rId3" Type="http://schemas.openxmlformats.org/officeDocument/2006/relationships/hyperlink" Target="#'LE-3 Vegetation'!A16:M58"/><Relationship Id="rId7" Type="http://schemas.openxmlformats.org/officeDocument/2006/relationships/image" Target="../media/image99.png"/><Relationship Id="rId2" Type="http://schemas.openxmlformats.org/officeDocument/2006/relationships/hyperlink" Target="#'LOTUS Homes Scorecard'!L2"/><Relationship Id="rId1" Type="http://schemas.openxmlformats.org/officeDocument/2006/relationships/hyperlink" Target="#'Local Environment'!K2"/><Relationship Id="rId6" Type="http://schemas.openxmlformats.org/officeDocument/2006/relationships/image" Target="../media/image96.png"/><Relationship Id="rId5" Type="http://schemas.openxmlformats.org/officeDocument/2006/relationships/image" Target="../media/image95.png"/><Relationship Id="rId4" Type="http://schemas.openxmlformats.org/officeDocument/2006/relationships/hyperlink" Target="#'LE-3 Vegetation'!A59:M109"/></Relationships>
</file>

<file path=xl/drawings/_rels/drawing45.xml.rels><?xml version="1.0" encoding="UTF-8" standalone="yes"?>
<Relationships xmlns="http://schemas.openxmlformats.org/package/2006/relationships"><Relationship Id="rId8" Type="http://schemas.openxmlformats.org/officeDocument/2006/relationships/hyperlink" Target="#'LE-4 Heat Island Effect'!A9"/><Relationship Id="rId3" Type="http://schemas.openxmlformats.org/officeDocument/2006/relationships/image" Target="../media/image95.png"/><Relationship Id="rId7" Type="http://schemas.openxmlformats.org/officeDocument/2006/relationships/hyperlink" Target="#Resources!A134:R159"/><Relationship Id="rId2" Type="http://schemas.openxmlformats.org/officeDocument/2006/relationships/hyperlink" Target="#'LOTUS Homes Scorecard'!L2"/><Relationship Id="rId1" Type="http://schemas.openxmlformats.org/officeDocument/2006/relationships/hyperlink" Target="#'Local Environment'!K2"/><Relationship Id="rId6" Type="http://schemas.openxmlformats.org/officeDocument/2006/relationships/image" Target="../media/image99.png"/><Relationship Id="rId5" Type="http://schemas.openxmlformats.org/officeDocument/2006/relationships/image" Target="../media/image96.png"/><Relationship Id="rId4" Type="http://schemas.openxmlformats.org/officeDocument/2006/relationships/image" Target="../media/image100.png"/></Relationships>
</file>

<file path=xl/drawings/_rels/drawing46.xml.rels><?xml version="1.0" encoding="UTF-8" standalone="yes"?>
<Relationships xmlns="http://schemas.openxmlformats.org/package/2006/relationships"><Relationship Id="rId8" Type="http://schemas.openxmlformats.org/officeDocument/2006/relationships/hyperlink" Target="#'LE-5 Storm Water Runoff'!A9"/><Relationship Id="rId3" Type="http://schemas.openxmlformats.org/officeDocument/2006/relationships/hyperlink" Target="#'LOTUS Homes Scorecard'!L2"/><Relationship Id="rId7" Type="http://schemas.openxmlformats.org/officeDocument/2006/relationships/image" Target="../media/image96.png"/><Relationship Id="rId2" Type="http://schemas.openxmlformats.org/officeDocument/2006/relationships/hyperlink" Target="#'Local Environment'!K2"/><Relationship Id="rId1" Type="http://schemas.openxmlformats.org/officeDocument/2006/relationships/hyperlink" Target="#Resources!A160:R190"/><Relationship Id="rId6" Type="http://schemas.openxmlformats.org/officeDocument/2006/relationships/image" Target="../media/image98.png"/><Relationship Id="rId5" Type="http://schemas.openxmlformats.org/officeDocument/2006/relationships/image" Target="../media/image95.png"/><Relationship Id="rId4" Type="http://schemas.openxmlformats.org/officeDocument/2006/relationships/image" Target="../media/image99.png"/></Relationships>
</file>

<file path=xl/drawings/_rels/drawing47.xml.rels><?xml version="1.0" encoding="UTF-8" standalone="yes"?>
<Relationships xmlns="http://schemas.openxmlformats.org/package/2006/relationships"><Relationship Id="rId3" Type="http://schemas.openxmlformats.org/officeDocument/2006/relationships/image" Target="../media/image96.png"/><Relationship Id="rId2" Type="http://schemas.openxmlformats.org/officeDocument/2006/relationships/hyperlink" Target="#'LOTUS Homes Scorecard'!L2"/><Relationship Id="rId1" Type="http://schemas.openxmlformats.org/officeDocument/2006/relationships/hyperlink" Target="#'Local Environment'!K2"/><Relationship Id="rId5" Type="http://schemas.openxmlformats.org/officeDocument/2006/relationships/hyperlink" Target="#'LE-6 Flood Risk Mitigation'!A9"/><Relationship Id="rId4" Type="http://schemas.openxmlformats.org/officeDocument/2006/relationships/image" Target="../media/image95.png"/></Relationships>
</file>

<file path=xl/drawings/_rels/drawing48.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hyperlink" Target="#'LOTUS Homes Scorecard'!L2"/><Relationship Id="rId1" Type="http://schemas.openxmlformats.org/officeDocument/2006/relationships/hyperlink" Target="#'Local Environment'!K2"/><Relationship Id="rId6" Type="http://schemas.openxmlformats.org/officeDocument/2006/relationships/hyperlink" Target="#'LE-7 Refrigerants'!A9"/><Relationship Id="rId5" Type="http://schemas.openxmlformats.org/officeDocument/2006/relationships/image" Target="../media/image99.png"/><Relationship Id="rId4" Type="http://schemas.openxmlformats.org/officeDocument/2006/relationships/image" Target="../media/image96.png"/></Relationships>
</file>

<file path=xl/drawings/_rels/drawing49.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hyperlink" Target="#'LOTUS Homes Scorecard'!L2"/><Relationship Id="rId1" Type="http://schemas.openxmlformats.org/officeDocument/2006/relationships/hyperlink" Target="#'Local Environment'!K2"/><Relationship Id="rId5" Type="http://schemas.openxmlformats.org/officeDocument/2006/relationships/hyperlink" Target="#'LE-8 Waste Management'!A9"/><Relationship Id="rId4" Type="http://schemas.openxmlformats.org/officeDocument/2006/relationships/image" Target="../media/image96.png"/></Relationships>
</file>

<file path=xl/drawings/_rels/drawing5.xml.rels><?xml version="1.0" encoding="UTF-8" standalone="yes"?>
<Relationships xmlns="http://schemas.openxmlformats.org/package/2006/relationships"><Relationship Id="rId3" Type="http://schemas.openxmlformats.org/officeDocument/2006/relationships/hyperlink" Target="#'Graphical Results'!C8"/><Relationship Id="rId7" Type="http://schemas.openxmlformats.org/officeDocument/2006/relationships/image" Target="../media/image49.png"/><Relationship Id="rId2" Type="http://schemas.openxmlformats.org/officeDocument/2006/relationships/hyperlink" Target="#'Project information'!A1"/><Relationship Id="rId1" Type="http://schemas.openxmlformats.org/officeDocument/2006/relationships/hyperlink" Target="#'LOTUS Homes Scorecard'!L2"/><Relationship Id="rId6" Type="http://schemas.openxmlformats.org/officeDocument/2006/relationships/hyperlink" Target="#Glossary!A1"/><Relationship Id="rId5" Type="http://schemas.openxmlformats.org/officeDocument/2006/relationships/hyperlink" Target="#Instructions!M4"/><Relationship Id="rId4" Type="http://schemas.openxmlformats.org/officeDocument/2006/relationships/hyperlink" Target="#Introduction!M3"/></Relationships>
</file>

<file path=xl/drawings/_rels/drawing50.xml.rels><?xml version="1.0" encoding="UTF-8" standalone="yes"?>
<Relationships xmlns="http://schemas.openxmlformats.org/package/2006/relationships"><Relationship Id="rId3" Type="http://schemas.openxmlformats.org/officeDocument/2006/relationships/image" Target="../media/image95.png"/><Relationship Id="rId2" Type="http://schemas.openxmlformats.org/officeDocument/2006/relationships/hyperlink" Target="#'LOTUS Homes Scorecard'!L2"/><Relationship Id="rId1" Type="http://schemas.openxmlformats.org/officeDocument/2006/relationships/hyperlink" Target="#'Local Environment'!L2"/><Relationship Id="rId5" Type="http://schemas.openxmlformats.org/officeDocument/2006/relationships/hyperlink" Target="#'LE BPC'!A9"/><Relationship Id="rId4" Type="http://schemas.openxmlformats.org/officeDocument/2006/relationships/image" Target="../media/image96.png"/></Relationships>
</file>

<file path=xl/drawings/_rels/drawing51.xml.rels><?xml version="1.0" encoding="UTF-8" standalone="yes"?>
<Relationships xmlns="http://schemas.openxmlformats.org/package/2006/relationships"><Relationship Id="rId2" Type="http://schemas.openxmlformats.org/officeDocument/2006/relationships/hyperlink" Target="#'LOTUS Homes Scorecard'!L2"/><Relationship Id="rId1" Type="http://schemas.openxmlformats.org/officeDocument/2006/relationships/image" Target="../media/image58.png"/></Relationships>
</file>

<file path=xl/drawings/_rels/drawing52.xml.rels><?xml version="1.0" encoding="UTF-8" standalone="yes"?>
<Relationships xmlns="http://schemas.openxmlformats.org/package/2006/relationships"><Relationship Id="rId3" Type="http://schemas.openxmlformats.org/officeDocument/2006/relationships/image" Target="../media/image101.png"/><Relationship Id="rId2" Type="http://schemas.openxmlformats.org/officeDocument/2006/relationships/hyperlink" Target="#'LOTUS Homes Scorecard'!L2"/><Relationship Id="rId1" Type="http://schemas.openxmlformats.org/officeDocument/2006/relationships/hyperlink" Target="#'Community &amp; Management'!K2"/><Relationship Id="rId6" Type="http://schemas.openxmlformats.org/officeDocument/2006/relationships/hyperlink" Target="#'CM-1 Design Stage'!A9"/><Relationship Id="rId5" Type="http://schemas.openxmlformats.org/officeDocument/2006/relationships/image" Target="../media/image103.png"/><Relationship Id="rId4" Type="http://schemas.openxmlformats.org/officeDocument/2006/relationships/image" Target="../media/image102.png"/></Relationships>
</file>

<file path=xl/drawings/_rels/drawing53.xml.rels><?xml version="1.0" encoding="UTF-8" standalone="yes"?>
<Relationships xmlns="http://schemas.openxmlformats.org/package/2006/relationships"><Relationship Id="rId8" Type="http://schemas.openxmlformats.org/officeDocument/2006/relationships/image" Target="../media/image101.png"/><Relationship Id="rId3" Type="http://schemas.openxmlformats.org/officeDocument/2006/relationships/hyperlink" Target="#'CM-2 Construction Management'!A19:K49"/><Relationship Id="rId7" Type="http://schemas.openxmlformats.org/officeDocument/2006/relationships/hyperlink" Target="#'CM-2 Construction Management'!A142:K180"/><Relationship Id="rId12" Type="http://schemas.openxmlformats.org/officeDocument/2006/relationships/hyperlink" Target="#'CM-2 Construction Management'!A9"/><Relationship Id="rId2" Type="http://schemas.openxmlformats.org/officeDocument/2006/relationships/hyperlink" Target="#'LOTUS Homes Scorecard'!L2"/><Relationship Id="rId1" Type="http://schemas.openxmlformats.org/officeDocument/2006/relationships/hyperlink" Target="#'Community &amp; Management'!K2"/><Relationship Id="rId6" Type="http://schemas.openxmlformats.org/officeDocument/2006/relationships/hyperlink" Target="#'CM-2 Construction Management'!A118:K141"/><Relationship Id="rId11" Type="http://schemas.openxmlformats.org/officeDocument/2006/relationships/image" Target="../media/image105.png"/><Relationship Id="rId5" Type="http://schemas.openxmlformats.org/officeDocument/2006/relationships/hyperlink" Target="#'CM-2 Construction Management'!A86:K117"/><Relationship Id="rId10" Type="http://schemas.openxmlformats.org/officeDocument/2006/relationships/image" Target="../media/image104.png"/><Relationship Id="rId4" Type="http://schemas.openxmlformats.org/officeDocument/2006/relationships/hyperlink" Target="#'CM-2 Construction Management'!A50:K85"/><Relationship Id="rId9" Type="http://schemas.openxmlformats.org/officeDocument/2006/relationships/image" Target="../media/image102.png"/></Relationships>
</file>

<file path=xl/drawings/_rels/drawing54.xml.rels><?xml version="1.0" encoding="UTF-8" standalone="yes"?>
<Relationships xmlns="http://schemas.openxmlformats.org/package/2006/relationships"><Relationship Id="rId3" Type="http://schemas.openxmlformats.org/officeDocument/2006/relationships/image" Target="../media/image101.png"/><Relationship Id="rId2" Type="http://schemas.openxmlformats.org/officeDocument/2006/relationships/hyperlink" Target="#'LOTUS Homes Scorecard'!L2"/><Relationship Id="rId1" Type="http://schemas.openxmlformats.org/officeDocument/2006/relationships/hyperlink" Target="#'Community &amp; Management'!K2"/><Relationship Id="rId5" Type="http://schemas.openxmlformats.org/officeDocument/2006/relationships/hyperlink" Target="#'CM-3 Operational Management'!A9"/><Relationship Id="rId4" Type="http://schemas.openxmlformats.org/officeDocument/2006/relationships/image" Target="../media/image102.png"/></Relationships>
</file>

<file path=xl/drawings/_rels/drawing55.xml.rels><?xml version="1.0" encoding="UTF-8" standalone="yes"?>
<Relationships xmlns="http://schemas.openxmlformats.org/package/2006/relationships"><Relationship Id="rId8" Type="http://schemas.openxmlformats.org/officeDocument/2006/relationships/image" Target="../media/image106.png"/><Relationship Id="rId3" Type="http://schemas.openxmlformats.org/officeDocument/2006/relationships/hyperlink" Target="#'CM BPC'!A16:K42"/><Relationship Id="rId7" Type="http://schemas.openxmlformats.org/officeDocument/2006/relationships/image" Target="../media/image102.png"/><Relationship Id="rId2" Type="http://schemas.openxmlformats.org/officeDocument/2006/relationships/hyperlink" Target="#'LOTUS Homes Scorecard'!L2"/><Relationship Id="rId1" Type="http://schemas.openxmlformats.org/officeDocument/2006/relationships/hyperlink" Target="#'Community &amp; Management'!K2"/><Relationship Id="rId6" Type="http://schemas.openxmlformats.org/officeDocument/2006/relationships/image" Target="../media/image101.png"/><Relationship Id="rId5" Type="http://schemas.openxmlformats.org/officeDocument/2006/relationships/hyperlink" Target="#'CM BPC'!A64:K96"/><Relationship Id="rId4" Type="http://schemas.openxmlformats.org/officeDocument/2006/relationships/hyperlink" Target="#'CM BPC'!A43:K63"/><Relationship Id="rId9" Type="http://schemas.openxmlformats.org/officeDocument/2006/relationships/hyperlink" Target="#'CM BPC'!A8"/></Relationships>
</file>

<file path=xl/drawings/_rels/drawing56.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hyperlink" Target="#'LOTUS Homes Scorecard'!L2"/></Relationships>
</file>

<file path=xl/drawings/_rels/drawing57.xml.rels><?xml version="1.0" encoding="UTF-8" standalone="yes"?>
<Relationships xmlns="http://schemas.openxmlformats.org/package/2006/relationships"><Relationship Id="rId3" Type="http://schemas.openxmlformats.org/officeDocument/2006/relationships/image" Target="../media/image107.png"/><Relationship Id="rId2" Type="http://schemas.openxmlformats.org/officeDocument/2006/relationships/hyperlink" Target="#'LOTUS Homes Scorecard'!L2"/><Relationship Id="rId1" Type="http://schemas.openxmlformats.org/officeDocument/2006/relationships/hyperlink" Target="#Innovation!K2"/></Relationships>
</file>

<file path=xl/drawings/_rels/drawing58.xml.rels><?xml version="1.0" encoding="UTF-8" standalone="yes"?>
<Relationships xmlns="http://schemas.openxmlformats.org/package/2006/relationships"><Relationship Id="rId3" Type="http://schemas.openxmlformats.org/officeDocument/2006/relationships/image" Target="../media/image107.png"/><Relationship Id="rId2" Type="http://schemas.openxmlformats.org/officeDocument/2006/relationships/hyperlink" Target="#'LOTUS Homes Scorecard'!L2"/><Relationship Id="rId1" Type="http://schemas.openxmlformats.org/officeDocument/2006/relationships/hyperlink" Target="#Innovation!K2"/><Relationship Id="rId4" Type="http://schemas.openxmlformats.org/officeDocument/2006/relationships/image" Target="../media/image108.png"/></Relationships>
</file>

<file path=xl/drawings/_rels/drawing59.xml.rels><?xml version="1.0" encoding="UTF-8" standalone="yes"?>
<Relationships xmlns="http://schemas.openxmlformats.org/package/2006/relationships"><Relationship Id="rId3" Type="http://schemas.openxmlformats.org/officeDocument/2006/relationships/hyperlink" Target="#'LOTUS Homes Scorecard'!L2"/><Relationship Id="rId2" Type="http://schemas.openxmlformats.org/officeDocument/2006/relationships/image" Target="../media/image109.jpeg"/><Relationship Id="rId1" Type="http://schemas.openxmlformats.org/officeDocument/2006/relationships/hyperlink" Target="#'Project information'!A1"/><Relationship Id="rId6" Type="http://schemas.openxmlformats.org/officeDocument/2006/relationships/hyperlink" Target="#'Certification stage checklist '!A22"/><Relationship Id="rId5" Type="http://schemas.openxmlformats.org/officeDocument/2006/relationships/hyperlink" Target="#Introduction!M3"/><Relationship Id="rId4" Type="http://schemas.openxmlformats.org/officeDocument/2006/relationships/hyperlink" Target="#Instructions!M4"/></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M4"/><Relationship Id="rId2" Type="http://schemas.openxmlformats.org/officeDocument/2006/relationships/hyperlink" Target="#'LOTUS Homes Scorecard'!L2"/><Relationship Id="rId1" Type="http://schemas.openxmlformats.org/officeDocument/2006/relationships/hyperlink" Target="#Glossary!A53:T80"/><Relationship Id="rId5" Type="http://schemas.openxmlformats.org/officeDocument/2006/relationships/image" Target="../media/image50.png"/><Relationship Id="rId4" Type="http://schemas.openxmlformats.org/officeDocument/2006/relationships/hyperlink" Target="#Introduction!M3"/></Relationships>
</file>

<file path=xl/drawings/_rels/drawing60.xml.rels><?xml version="1.0" encoding="UTF-8" standalone="yes"?>
<Relationships xmlns="http://schemas.openxmlformats.org/package/2006/relationships"><Relationship Id="rId8" Type="http://schemas.openxmlformats.org/officeDocument/2006/relationships/hyperlink" Target="#Instructions!M4"/><Relationship Id="rId13" Type="http://schemas.openxmlformats.org/officeDocument/2006/relationships/hyperlink" Target="#'E-1 Passive Design'!B93"/><Relationship Id="rId3" Type="http://schemas.openxmlformats.org/officeDocument/2006/relationships/hyperlink" Target="#'LE-2 Site design'!E37"/><Relationship Id="rId7" Type="http://schemas.openxmlformats.org/officeDocument/2006/relationships/hyperlink" Target="#'LOTUS Homes Scorecard'!L2"/><Relationship Id="rId12" Type="http://schemas.openxmlformats.org/officeDocument/2006/relationships/hyperlink" Target="#'LE-4 Heat Island Effect'!A29"/><Relationship Id="rId2" Type="http://schemas.openxmlformats.org/officeDocument/2006/relationships/image" Target="../media/image110.emf"/><Relationship Id="rId1" Type="http://schemas.openxmlformats.org/officeDocument/2006/relationships/hyperlink" Target="#'LE-5 Storm Water Runoff'!A26"/><Relationship Id="rId6" Type="http://schemas.openxmlformats.org/officeDocument/2006/relationships/hyperlink" Target="#'H-4 Daylighting'!A94:R140"/><Relationship Id="rId11" Type="http://schemas.openxmlformats.org/officeDocument/2006/relationships/image" Target="../media/image112.png"/><Relationship Id="rId5" Type="http://schemas.openxmlformats.org/officeDocument/2006/relationships/image" Target="../media/image111.jpeg"/><Relationship Id="rId10" Type="http://schemas.openxmlformats.org/officeDocument/2006/relationships/hyperlink" Target="#'E-2 Building Envelope'!B235"/><Relationship Id="rId4" Type="http://schemas.openxmlformats.org/officeDocument/2006/relationships/hyperlink" Target="#'W-2 Water Efficient Landscaping'!A108"/><Relationship Id="rId9" Type="http://schemas.openxmlformats.org/officeDocument/2006/relationships/hyperlink" Target="#Introduction!M3"/></Relationships>
</file>

<file path=xl/drawings/_rels/drawing61.xml.rels><?xml version="1.0" encoding="UTF-8" standalone="yes"?>
<Relationships xmlns="http://schemas.openxmlformats.org/package/2006/relationships"><Relationship Id="rId1" Type="http://schemas.openxmlformats.org/officeDocument/2006/relationships/image" Target="../media/image113.png"/></Relationships>
</file>

<file path=xl/drawings/_rels/drawing62.xml.rels><?xml version="1.0" encoding="UTF-8" standalone="yes"?>
<Relationships xmlns="http://schemas.openxmlformats.org/package/2006/relationships"><Relationship Id="rId3" Type="http://schemas.openxmlformats.org/officeDocument/2006/relationships/hyperlink" Target="#Instructions!N4"/><Relationship Id="rId2" Type="http://schemas.openxmlformats.org/officeDocument/2006/relationships/hyperlink" Target="#'LOTUS Homes Scorecard'!W1"/><Relationship Id="rId1" Type="http://schemas.openxmlformats.org/officeDocument/2006/relationships/hyperlink" Target="#Example!A1"/><Relationship Id="rId4" Type="http://schemas.openxmlformats.org/officeDocument/2006/relationships/hyperlink" Target="#Introduction!M3"/></Relationships>
</file>

<file path=xl/drawings/_rels/drawing7.xml.rels><?xml version="1.0" encoding="UTF-8" standalone="yes"?>
<Relationships xmlns="http://schemas.openxmlformats.org/package/2006/relationships"><Relationship Id="rId1" Type="http://schemas.openxmlformats.org/officeDocument/2006/relationships/image" Target="../media/image51.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M4"/><Relationship Id="rId2" Type="http://schemas.openxmlformats.org/officeDocument/2006/relationships/hyperlink" Target="#'LOTUS Homes Scorecard'!W1"/><Relationship Id="rId1" Type="http://schemas.openxmlformats.org/officeDocument/2006/relationships/image" Target="../media/image52.png"/><Relationship Id="rId4" Type="http://schemas.openxmlformats.org/officeDocument/2006/relationships/hyperlink" Target="#Introduction!M3"/></Relationships>
</file>

<file path=xl/drawings/_rels/drawing9.xml.rels><?xml version="1.0" encoding="UTF-8" standalone="yes"?>
<Relationships xmlns="http://schemas.openxmlformats.org/package/2006/relationships"><Relationship Id="rId3" Type="http://schemas.openxmlformats.org/officeDocument/2006/relationships/hyperlink" Target="#'LOTUS Homes Scorecard'!W1"/><Relationship Id="rId2" Type="http://schemas.openxmlformats.org/officeDocument/2006/relationships/image" Target="../media/image52.png"/><Relationship Id="rId1" Type="http://schemas.openxmlformats.org/officeDocument/2006/relationships/hyperlink" Target="#Glossary!A33:Q49"/><Relationship Id="rId5" Type="http://schemas.openxmlformats.org/officeDocument/2006/relationships/hyperlink" Target="#Introduction!M3"/><Relationship Id="rId4" Type="http://schemas.openxmlformats.org/officeDocument/2006/relationships/hyperlink" Target="#Instructions!M4"/></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13</xdr:row>
      <xdr:rowOff>114299</xdr:rowOff>
    </xdr:from>
    <xdr:to>
      <xdr:col>14</xdr:col>
      <xdr:colOff>0</xdr:colOff>
      <xdr:row>23</xdr:row>
      <xdr:rowOff>211559</xdr:rowOff>
    </xdr:to>
    <xdr:pic>
      <xdr:nvPicPr>
        <xdr:cNvPr id="8" name="Picture 7" descr="C:\Users\VGBC\Desktop\111114 Option 1a.png"/>
        <xdr:cNvPicPr>
          <a:picLocks noChangeAspect="1"/>
        </xdr:cNvPicPr>
      </xdr:nvPicPr>
      <xdr:blipFill rotWithShape="1">
        <a:blip xmlns:r="http://schemas.openxmlformats.org/officeDocument/2006/relationships" r:embed="rId1" cstate="print">
          <a:duotone>
            <a:prstClr val="black"/>
            <a:srgbClr val="943634">
              <a:tint val="45000"/>
              <a:satMod val="400000"/>
            </a:srgbClr>
          </a:duotone>
          <a:extLst>
            <a:ext uri="{BEBA8EAE-BF5A-486C-A8C5-ECC9F3942E4B}">
              <a14:imgProps xmlns:a14="http://schemas.microsoft.com/office/drawing/2010/main">
                <a14:imgLayer r:embed="rId2">
                  <a14:imgEffect>
                    <a14:sharpenSoften amount="35000"/>
                  </a14:imgEffect>
                  <a14:imgEffect>
                    <a14:colorTemperature colorTemp="11200"/>
                  </a14:imgEffect>
                  <a14:imgEffect>
                    <a14:brightnessContrast bright="20000" contrast="-40000"/>
                  </a14:imgEffect>
                </a14:imgLayer>
              </a14:imgProps>
            </a:ext>
            <a:ext uri="{28A0092B-C50C-407E-A947-70E740481C1C}">
              <a14:useLocalDpi xmlns:a14="http://schemas.microsoft.com/office/drawing/2010/main" val="0"/>
            </a:ext>
          </a:extLst>
        </a:blip>
        <a:srcRect l="7387" t="9899" r="1464" b="-2"/>
        <a:stretch/>
      </xdr:blipFill>
      <xdr:spPr bwMode="auto">
        <a:xfrm>
          <a:off x="9525" y="2476499"/>
          <a:ext cx="8610600" cy="2202285"/>
        </a:xfrm>
        <a:prstGeom prst="rect">
          <a:avLst/>
        </a:prstGeom>
        <a:noFill/>
        <a:ln>
          <a:noFill/>
        </a:ln>
        <a:effectLst>
          <a:outerShdw blurRad="50800" dist="50800" dir="5400000" algn="ctr" rotWithShape="0">
            <a:srgbClr val="000000">
              <a:alpha val="0"/>
            </a:srgbClr>
          </a:outerShdw>
        </a:effectLst>
        <a:extLst>
          <a:ext uri="{53640926-AAD7-44D8-BBD7-CCE9431645EC}">
            <a14:shadowObscured xmlns:a14="http://schemas.microsoft.com/office/drawing/2010/main"/>
          </a:ext>
        </a:extLst>
      </xdr:spPr>
    </xdr:pic>
    <xdr:clientData/>
  </xdr:twoCellAnchor>
  <xdr:twoCellAnchor editAs="oneCell">
    <xdr:from>
      <xdr:col>11</xdr:col>
      <xdr:colOff>419100</xdr:colOff>
      <xdr:row>0</xdr:row>
      <xdr:rowOff>0</xdr:rowOff>
    </xdr:from>
    <xdr:to>
      <xdr:col>14</xdr:col>
      <xdr:colOff>0</xdr:colOff>
      <xdr:row>5</xdr:row>
      <xdr:rowOff>55500</xdr:rowOff>
    </xdr:to>
    <xdr:pic>
      <xdr:nvPicPr>
        <xdr:cNvPr id="2" name="Picture 8" descr="VGBC_logo.jpg">
          <a:hlinkClick xmlns:r="http://schemas.openxmlformats.org/officeDocument/2006/relationships" r:id="rId3"/>
        </xdr:cNvPr>
        <xdr:cNvPicPr>
          <a:picLocks noChangeAspect="1"/>
        </xdr:cNvPicPr>
      </xdr:nvPicPr>
      <xdr:blipFill rotWithShape="1">
        <a:blip xmlns:r="http://schemas.openxmlformats.org/officeDocument/2006/relationships" r:embed="rId4" cstate="print"/>
        <a:srcRect t="7665" r="1430" b="20566"/>
        <a:stretch/>
      </xdr:blipFill>
      <xdr:spPr>
        <a:xfrm>
          <a:off x="7277100" y="0"/>
          <a:ext cx="1343025" cy="1008000"/>
        </a:xfrm>
        <a:prstGeom prst="rect">
          <a:avLst/>
        </a:prstGeom>
      </xdr:spPr>
    </xdr:pic>
    <xdr:clientData/>
  </xdr:twoCellAnchor>
  <xdr:twoCellAnchor>
    <xdr:from>
      <xdr:col>0</xdr:col>
      <xdr:colOff>95251</xdr:colOff>
      <xdr:row>25</xdr:row>
      <xdr:rowOff>38100</xdr:rowOff>
    </xdr:from>
    <xdr:to>
      <xdr:col>13</xdr:col>
      <xdr:colOff>457200</xdr:colOff>
      <xdr:row>25</xdr:row>
      <xdr:rowOff>847725</xdr:rowOff>
    </xdr:to>
    <xdr:sp macro="" textlink="">
      <xdr:nvSpPr>
        <xdr:cNvPr id="4" name="TextBox 3"/>
        <xdr:cNvSpPr txBox="1"/>
      </xdr:nvSpPr>
      <xdr:spPr>
        <a:xfrm>
          <a:off x="95251" y="4886325"/>
          <a:ext cx="8439149" cy="8096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0" i="1" u="none" strike="noStrike">
              <a:solidFill>
                <a:schemeClr val="dk1"/>
              </a:solidFill>
              <a:effectLst/>
              <a:latin typeface="+mn-lt"/>
              <a:ea typeface="+mn-ea"/>
              <a:cs typeface="+mn-cs"/>
            </a:rPr>
            <a:t>© Copyright Vietnam Green Building Council. 2018. </a:t>
          </a:r>
        </a:p>
        <a:p>
          <a:r>
            <a:rPr lang="en-US" sz="1100" b="0" i="1" u="none" strike="noStrike">
              <a:solidFill>
                <a:schemeClr val="dk1"/>
              </a:solidFill>
              <a:effectLst/>
              <a:latin typeface="+mn-lt"/>
              <a:ea typeface="+mn-ea"/>
              <a:cs typeface="+mn-cs"/>
            </a:rPr>
            <a:t>Whilst every care has been taken in preparing this document, the Vietnam Green Building Council cannot accept responsibility for any inaccuracies or for consequential loss incurred as a result of such inaccuracies arising through the use of the document. </a:t>
          </a:r>
          <a:br>
            <a:rPr lang="en-US" sz="1100" b="0" i="1" u="none" strike="noStrike">
              <a:solidFill>
                <a:schemeClr val="dk1"/>
              </a:solidFill>
              <a:effectLst/>
              <a:latin typeface="+mn-lt"/>
              <a:ea typeface="+mn-ea"/>
              <a:cs typeface="+mn-cs"/>
            </a:rPr>
          </a:br>
          <a:r>
            <a:rPr lang="en-US" sz="1100" b="0" i="1" u="none" strike="noStrike">
              <a:solidFill>
                <a:schemeClr val="dk1"/>
              </a:solidFill>
              <a:effectLst/>
              <a:latin typeface="+mn-lt"/>
              <a:ea typeface="+mn-ea"/>
              <a:cs typeface="+mn-cs"/>
            </a:rPr>
            <a:t>The Vietnam Green Building Council reserves the right to amend, alter, change or update this document in any way and without prior notice. </a:t>
          </a:r>
          <a:r>
            <a:rPr lang="en-US"/>
            <a:t> </a:t>
          </a:r>
          <a:endParaRPr lang="en-US" sz="1100"/>
        </a:p>
      </xdr:txBody>
    </xdr:sp>
    <xdr:clientData/>
  </xdr:twoCellAnchor>
  <xdr:twoCellAnchor>
    <xdr:from>
      <xdr:col>1</xdr:col>
      <xdr:colOff>581025</xdr:colOff>
      <xdr:row>2</xdr:row>
      <xdr:rowOff>38100</xdr:rowOff>
    </xdr:from>
    <xdr:to>
      <xdr:col>4</xdr:col>
      <xdr:colOff>257925</xdr:colOff>
      <xdr:row>4</xdr:row>
      <xdr:rowOff>17100</xdr:rowOff>
    </xdr:to>
    <xdr:sp macro="" textlink="">
      <xdr:nvSpPr>
        <xdr:cNvPr id="5" name="Rectangle à coins arrondis 2">
          <a:hlinkClick xmlns:r="http://schemas.openxmlformats.org/officeDocument/2006/relationships" r:id="rId5" tooltip="Introduction"/>
        </xdr:cNvPr>
        <xdr:cNvSpPr>
          <a:spLocks noChangeArrowheads="1"/>
        </xdr:cNvSpPr>
      </xdr:nvSpPr>
      <xdr:spPr bwMode="auto">
        <a:xfrm>
          <a:off x="1228725" y="419100"/>
          <a:ext cx="1620000" cy="360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chemeClr val="bg1"/>
              </a:solidFill>
              <a:latin typeface="Arial" panose="020B0604020202020204" pitchFamily="34" charset="0"/>
              <a:cs typeface="Arial" panose="020B0604020202020204" pitchFamily="34" charset="0"/>
            </a:rPr>
            <a:t>Introduction</a:t>
          </a:r>
          <a:endParaRPr lang="fr-FR" sz="1200" b="0" i="0" u="none" strike="noStrike" baseline="0">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6</xdr:row>
      <xdr:rowOff>114300</xdr:rowOff>
    </xdr:from>
    <xdr:to>
      <xdr:col>14</xdr:col>
      <xdr:colOff>0</xdr:colOff>
      <xdr:row>13</xdr:row>
      <xdr:rowOff>61950</xdr:rowOff>
    </xdr:to>
    <xdr:pic>
      <xdr:nvPicPr>
        <xdr:cNvPr id="9" name="Picture 8"/>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6731" b="6731"/>
        <a:stretch/>
      </xdr:blipFill>
      <xdr:spPr>
        <a:xfrm>
          <a:off x="0" y="1200150"/>
          <a:ext cx="8620125" cy="1224000"/>
        </a:xfrm>
        <a:prstGeom prst="rect">
          <a:avLst/>
        </a:prstGeom>
      </xdr:spPr>
    </xdr:pic>
    <xdr:clientData/>
  </xdr:twoCellAnchor>
  <xdr:twoCellAnchor>
    <xdr:from>
      <xdr:col>5</xdr:col>
      <xdr:colOff>19050</xdr:colOff>
      <xdr:row>2</xdr:row>
      <xdr:rowOff>28575</xdr:rowOff>
    </xdr:from>
    <xdr:to>
      <xdr:col>7</xdr:col>
      <xdr:colOff>419850</xdr:colOff>
      <xdr:row>4</xdr:row>
      <xdr:rowOff>7575</xdr:rowOff>
    </xdr:to>
    <xdr:sp macro="" textlink="">
      <xdr:nvSpPr>
        <xdr:cNvPr id="10" name="Rectangle à coins arrondis 2">
          <a:hlinkClick xmlns:r="http://schemas.openxmlformats.org/officeDocument/2006/relationships" r:id="rId7" tooltip="Scorecard"/>
        </xdr:cNvPr>
        <xdr:cNvSpPr>
          <a:spLocks noChangeArrowheads="1"/>
        </xdr:cNvSpPr>
      </xdr:nvSpPr>
      <xdr:spPr bwMode="auto">
        <a:xfrm>
          <a:off x="3219450" y="409575"/>
          <a:ext cx="1620000" cy="360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chemeClr val="bg1"/>
              </a:solidFill>
              <a:latin typeface="Arial" pitchFamily="34" charset="0"/>
              <a:cs typeface="Arial" pitchFamily="34" charset="0"/>
            </a:rPr>
            <a:t>Scorecard</a:t>
          </a:r>
        </a:p>
      </xdr:txBody>
    </xdr:sp>
    <xdr:clientData/>
  </xdr:twoCellAnchor>
  <xdr:twoCellAnchor>
    <xdr:from>
      <xdr:col>8</xdr:col>
      <xdr:colOff>133350</xdr:colOff>
      <xdr:row>2</xdr:row>
      <xdr:rowOff>28575</xdr:rowOff>
    </xdr:from>
    <xdr:to>
      <xdr:col>10</xdr:col>
      <xdr:colOff>534150</xdr:colOff>
      <xdr:row>4</xdr:row>
      <xdr:rowOff>7575</xdr:rowOff>
    </xdr:to>
    <xdr:sp macro="" textlink="">
      <xdr:nvSpPr>
        <xdr:cNvPr id="11" name="Rectangle à coins arrondis 2">
          <a:hlinkClick xmlns:r="http://schemas.openxmlformats.org/officeDocument/2006/relationships" r:id="rId8" tooltip="Acknowledgments"/>
        </xdr:cNvPr>
        <xdr:cNvSpPr>
          <a:spLocks noChangeArrowheads="1"/>
        </xdr:cNvSpPr>
      </xdr:nvSpPr>
      <xdr:spPr bwMode="auto">
        <a:xfrm>
          <a:off x="5162550" y="409575"/>
          <a:ext cx="1620000" cy="360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chemeClr val="bg1"/>
              </a:solidFill>
              <a:latin typeface="Arial" pitchFamily="34" charset="0"/>
              <a:cs typeface="Arial" pitchFamily="34" charset="0"/>
            </a:rPr>
            <a:t>Acknowledgments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350827</xdr:colOff>
      <xdr:row>2</xdr:row>
      <xdr:rowOff>116150</xdr:rowOff>
    </xdr:from>
    <xdr:to>
      <xdr:col>21</xdr:col>
      <xdr:colOff>306645</xdr:colOff>
      <xdr:row>28</xdr:row>
      <xdr:rowOff>112971</xdr:rowOff>
    </xdr:to>
    <xdr:grpSp>
      <xdr:nvGrpSpPr>
        <xdr:cNvPr id="2" name="Group 1"/>
        <xdr:cNvGrpSpPr/>
      </xdr:nvGrpSpPr>
      <xdr:grpSpPr>
        <a:xfrm>
          <a:off x="8372994" y="391317"/>
          <a:ext cx="5078151" cy="5309654"/>
          <a:chOff x="8372994" y="391317"/>
          <a:chExt cx="5078151" cy="5309654"/>
        </a:xfrm>
      </xdr:grpSpPr>
      <xdr:graphicFrame macro="">
        <xdr:nvGraphicFramePr>
          <xdr:cNvPr id="3" name="Diagram 2"/>
          <xdr:cNvGraphicFramePr/>
        </xdr:nvGraphicFramePr>
        <xdr:xfrm>
          <a:off x="8372994" y="391317"/>
          <a:ext cx="5078151" cy="5309654"/>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pic>
        <xdr:nvPicPr>
          <xdr:cNvPr id="4" name="Image 4" descr="Energy.png">
            <a:hlinkClick xmlns:r="http://schemas.openxmlformats.org/officeDocument/2006/relationships" r:id="rId6" tooltip="Energy"/>
          </xdr:cNvPr>
          <xdr:cNvPicPr>
            <a:picLocks noChangeAspect="1"/>
          </xdr:cNvPicPr>
        </xdr:nvPicPr>
        <xdr:blipFill>
          <a:blip xmlns:r="http://schemas.openxmlformats.org/officeDocument/2006/relationships" r:embed="rId7" cstate="print"/>
          <a:srcRect/>
          <a:stretch>
            <a:fillRect/>
          </a:stretch>
        </xdr:blipFill>
        <xdr:spPr bwMode="auto">
          <a:xfrm>
            <a:off x="10470040" y="840914"/>
            <a:ext cx="895770" cy="937819"/>
          </a:xfrm>
          <a:prstGeom prst="rect">
            <a:avLst/>
          </a:prstGeom>
          <a:noFill/>
          <a:ln w="9525">
            <a:noFill/>
            <a:miter lim="800000"/>
            <a:headEnd/>
            <a:tailEnd/>
          </a:ln>
        </xdr:spPr>
      </xdr:pic>
      <xdr:pic>
        <xdr:nvPicPr>
          <xdr:cNvPr id="5" name="Image 2" descr="Water.png">
            <a:hlinkClick xmlns:r="http://schemas.openxmlformats.org/officeDocument/2006/relationships" r:id="rId8" tooltip="Water"/>
          </xdr:cNvPr>
          <xdr:cNvPicPr>
            <a:picLocks noChangeAspect="1"/>
          </xdr:cNvPicPr>
        </xdr:nvPicPr>
        <xdr:blipFill>
          <a:blip xmlns:r="http://schemas.openxmlformats.org/officeDocument/2006/relationships" r:embed="rId9" cstate="print"/>
          <a:srcRect/>
          <a:stretch>
            <a:fillRect/>
          </a:stretch>
        </xdr:blipFill>
        <xdr:spPr bwMode="auto">
          <a:xfrm>
            <a:off x="11931610" y="1512092"/>
            <a:ext cx="895770" cy="936607"/>
          </a:xfrm>
          <a:prstGeom prst="rect">
            <a:avLst/>
          </a:prstGeom>
          <a:noFill/>
          <a:ln w="9525">
            <a:noFill/>
            <a:miter lim="800000"/>
            <a:headEnd/>
            <a:tailEnd/>
          </a:ln>
          <a:effectLst/>
        </xdr:spPr>
      </xdr:pic>
      <xdr:pic>
        <xdr:nvPicPr>
          <xdr:cNvPr id="6" name="Image 2" descr="Materials.png">
            <a:hlinkClick xmlns:r="http://schemas.openxmlformats.org/officeDocument/2006/relationships" r:id="rId10" tooltip="Materials"/>
          </xdr:cNvPr>
          <xdr:cNvPicPr>
            <a:picLocks noChangeAspect="1"/>
          </xdr:cNvPicPr>
        </xdr:nvPicPr>
        <xdr:blipFill>
          <a:blip xmlns:r="http://schemas.openxmlformats.org/officeDocument/2006/relationships" r:embed="rId11" cstate="print"/>
          <a:srcRect/>
          <a:stretch>
            <a:fillRect/>
          </a:stretch>
        </xdr:blipFill>
        <xdr:spPr bwMode="auto">
          <a:xfrm>
            <a:off x="12306633" y="3101969"/>
            <a:ext cx="878543" cy="936607"/>
          </a:xfrm>
          <a:prstGeom prst="rect">
            <a:avLst/>
          </a:prstGeom>
          <a:noFill/>
          <a:ln w="9525">
            <a:noFill/>
            <a:miter lim="800000"/>
            <a:headEnd/>
            <a:tailEnd/>
          </a:ln>
        </xdr:spPr>
      </xdr:pic>
      <xdr:pic>
        <xdr:nvPicPr>
          <xdr:cNvPr id="7" name="Image 2" descr="HC.png">
            <a:hlinkClick xmlns:r="http://schemas.openxmlformats.org/officeDocument/2006/relationships" r:id="rId12" tooltip="Health &amp; Comfort"/>
          </xdr:cNvPr>
          <xdr:cNvPicPr>
            <a:picLocks noChangeAspect="1"/>
          </xdr:cNvPicPr>
        </xdr:nvPicPr>
        <xdr:blipFill>
          <a:blip xmlns:r="http://schemas.openxmlformats.org/officeDocument/2006/relationships" r:embed="rId13" cstate="print"/>
          <a:srcRect/>
          <a:stretch>
            <a:fillRect/>
          </a:stretch>
        </xdr:blipFill>
        <xdr:spPr bwMode="auto">
          <a:xfrm>
            <a:off x="11292252" y="4339290"/>
            <a:ext cx="885859" cy="936607"/>
          </a:xfrm>
          <a:prstGeom prst="rect">
            <a:avLst/>
          </a:prstGeom>
          <a:noFill/>
          <a:ln w="9525">
            <a:noFill/>
            <a:miter lim="800000"/>
            <a:headEnd/>
            <a:tailEnd/>
          </a:ln>
        </xdr:spPr>
      </xdr:pic>
      <xdr:pic>
        <xdr:nvPicPr>
          <xdr:cNvPr id="8" name="Picture 7">
            <a:hlinkClick xmlns:r="http://schemas.openxmlformats.org/officeDocument/2006/relationships" r:id="rId14" tooltip="Local Environment"/>
          </xdr:cNvPr>
          <xdr:cNvPicPr>
            <a:picLocks noChangeAspect="1"/>
          </xdr:cNvPicPr>
        </xdr:nvPicPr>
        <xdr:blipFill>
          <a:blip xmlns:r="http://schemas.openxmlformats.org/officeDocument/2006/relationships" r:embed="rId15" cstate="print"/>
          <a:stretch>
            <a:fillRect/>
          </a:stretch>
        </xdr:blipFill>
        <xdr:spPr>
          <a:xfrm>
            <a:off x="9680833" y="4340167"/>
            <a:ext cx="855437" cy="936607"/>
          </a:xfrm>
          <a:prstGeom prst="rect">
            <a:avLst/>
          </a:prstGeom>
        </xdr:spPr>
      </xdr:pic>
      <xdr:pic>
        <xdr:nvPicPr>
          <xdr:cNvPr id="9" name="Image 7" descr="management.png">
            <a:hlinkClick xmlns:r="http://schemas.openxmlformats.org/officeDocument/2006/relationships" r:id="rId16" tooltip="Management"/>
          </xdr:cNvPr>
          <xdr:cNvPicPr>
            <a:picLocks noChangeAspect="1"/>
          </xdr:cNvPicPr>
        </xdr:nvPicPr>
        <xdr:blipFill>
          <a:blip xmlns:r="http://schemas.openxmlformats.org/officeDocument/2006/relationships" r:embed="rId17" cstate="print"/>
          <a:srcRect/>
          <a:stretch>
            <a:fillRect/>
          </a:stretch>
        </xdr:blipFill>
        <xdr:spPr bwMode="auto">
          <a:xfrm>
            <a:off x="8657860" y="3092256"/>
            <a:ext cx="875897" cy="936607"/>
          </a:xfrm>
          <a:prstGeom prst="rect">
            <a:avLst/>
          </a:prstGeom>
          <a:noFill/>
          <a:ln w="9525">
            <a:noFill/>
            <a:miter lim="800000"/>
            <a:headEnd/>
            <a:tailEnd/>
          </a:ln>
        </xdr:spPr>
      </xdr:pic>
      <xdr:pic>
        <xdr:nvPicPr>
          <xdr:cNvPr id="10" name="Image 2" descr="Innovation.png">
            <a:hlinkClick xmlns:r="http://schemas.openxmlformats.org/officeDocument/2006/relationships" r:id="rId18" tooltip="Innovation"/>
          </xdr:cNvPr>
          <xdr:cNvPicPr>
            <a:picLocks noChangeAspect="1"/>
          </xdr:cNvPicPr>
        </xdr:nvPicPr>
        <xdr:blipFill>
          <a:blip xmlns:r="http://schemas.openxmlformats.org/officeDocument/2006/relationships" r:embed="rId19" cstate="print"/>
          <a:srcRect/>
          <a:stretch>
            <a:fillRect/>
          </a:stretch>
        </xdr:blipFill>
        <xdr:spPr bwMode="auto">
          <a:xfrm>
            <a:off x="9012811" y="1524885"/>
            <a:ext cx="895770" cy="945462"/>
          </a:xfrm>
          <a:prstGeom prst="rect">
            <a:avLst/>
          </a:prstGeom>
          <a:noFill/>
          <a:ln w="9525">
            <a:noFill/>
            <a:miter lim="800000"/>
            <a:headEnd/>
            <a:tailEnd/>
          </a:ln>
        </xdr:spPr>
      </xdr:pic>
    </xdr:grpSp>
    <xdr:clientData/>
  </xdr:twoCellAnchor>
  <xdr:twoCellAnchor>
    <xdr:from>
      <xdr:col>10</xdr:col>
      <xdr:colOff>209550</xdr:colOff>
      <xdr:row>0</xdr:row>
      <xdr:rowOff>70916</xdr:rowOff>
    </xdr:from>
    <xdr:to>
      <xdr:col>12</xdr:col>
      <xdr:colOff>30217</xdr:colOff>
      <xdr:row>2</xdr:row>
      <xdr:rowOff>83749</xdr:rowOff>
    </xdr:to>
    <xdr:sp macro="" textlink="">
      <xdr:nvSpPr>
        <xdr:cNvPr id="11" name="Rectangle à coins arrondis 2">
          <a:hlinkClick xmlns:r="http://schemas.openxmlformats.org/officeDocument/2006/relationships" r:id="rId20" tooltip="Instructions"/>
        </xdr:cNvPr>
        <xdr:cNvSpPr>
          <a:spLocks noChangeArrowheads="1"/>
        </xdr:cNvSpPr>
      </xdr:nvSpPr>
      <xdr:spPr bwMode="auto">
        <a:xfrm>
          <a:off x="6210300" y="70916"/>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8</xdr:col>
      <xdr:colOff>204787</xdr:colOff>
      <xdr:row>0</xdr:row>
      <xdr:rowOff>70916</xdr:rowOff>
    </xdr:from>
    <xdr:to>
      <xdr:col>10</xdr:col>
      <xdr:colOff>25454</xdr:colOff>
      <xdr:row>2</xdr:row>
      <xdr:rowOff>83749</xdr:rowOff>
    </xdr:to>
    <xdr:sp macro="" textlink="">
      <xdr:nvSpPr>
        <xdr:cNvPr id="14" name="Rectangle à coins arrondis 2">
          <a:hlinkClick xmlns:r="http://schemas.openxmlformats.org/officeDocument/2006/relationships" r:id="rId21" tooltip="Introduction"/>
        </xdr:cNvPr>
        <xdr:cNvSpPr>
          <a:spLocks noChangeArrowheads="1"/>
        </xdr:cNvSpPr>
      </xdr:nvSpPr>
      <xdr:spPr bwMode="auto">
        <a:xfrm>
          <a:off x="4766204" y="70916"/>
          <a:ext cx="126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twoCellAnchor editAs="oneCell">
    <xdr:from>
      <xdr:col>20</xdr:col>
      <xdr:colOff>596417</xdr:colOff>
      <xdr:row>3</xdr:row>
      <xdr:rowOff>1870</xdr:rowOff>
    </xdr:from>
    <xdr:to>
      <xdr:col>22</xdr:col>
      <xdr:colOff>243416</xdr:colOff>
      <xdr:row>6</xdr:row>
      <xdr:rowOff>102630</xdr:rowOff>
    </xdr:to>
    <xdr:pic>
      <xdr:nvPicPr>
        <xdr:cNvPr id="15" name="Picture 8" descr="VGBC_logo.jpg">
          <a:hlinkClick xmlns:r="http://schemas.openxmlformats.org/officeDocument/2006/relationships" r:id="rId22"/>
        </xdr:cNvPr>
        <xdr:cNvPicPr>
          <a:picLocks noChangeAspect="1"/>
        </xdr:cNvPicPr>
      </xdr:nvPicPr>
      <xdr:blipFill rotWithShape="1">
        <a:blip xmlns:r="http://schemas.openxmlformats.org/officeDocument/2006/relationships" r:embed="rId23" cstate="print"/>
        <a:srcRect l="3504" t="7124" r="1892" b="19137"/>
        <a:stretch/>
      </xdr:blipFill>
      <xdr:spPr>
        <a:xfrm>
          <a:off x="13328167" y="382870"/>
          <a:ext cx="1044000" cy="831010"/>
        </a:xfrm>
        <a:prstGeom prst="rect">
          <a:avLst/>
        </a:prstGeom>
      </xdr:spPr>
    </xdr:pic>
    <xdr:clientData/>
  </xdr:twoCellAnchor>
  <xdr:twoCellAnchor>
    <xdr:from>
      <xdr:col>16</xdr:col>
      <xdr:colOff>137583</xdr:colOff>
      <xdr:row>32</xdr:row>
      <xdr:rowOff>211665</xdr:rowOff>
    </xdr:from>
    <xdr:to>
      <xdr:col>18</xdr:col>
      <xdr:colOff>613833</xdr:colOff>
      <xdr:row>35</xdr:row>
      <xdr:rowOff>74083</xdr:rowOff>
    </xdr:to>
    <xdr:sp macro="" textlink="">
      <xdr:nvSpPr>
        <xdr:cNvPr id="16" name="Rectangle à coins arrondis 2">
          <a:hlinkClick xmlns:r="http://schemas.openxmlformats.org/officeDocument/2006/relationships" r:id="rId24" tooltip="Graphical Results "/>
        </xdr:cNvPr>
        <xdr:cNvSpPr>
          <a:spLocks noChangeArrowheads="1"/>
        </xdr:cNvSpPr>
      </xdr:nvSpPr>
      <xdr:spPr bwMode="auto">
        <a:xfrm>
          <a:off x="10435166" y="6381748"/>
          <a:ext cx="1619250" cy="603252"/>
        </a:xfrm>
        <a:prstGeom prst="roundRect">
          <a:avLst>
            <a:gd name="adj" fmla="val 16667"/>
          </a:avLst>
        </a:prstGeom>
        <a:solidFill>
          <a:schemeClr val="bg1">
            <a:lumMod val="85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rgbClr val="943634"/>
              </a:solidFill>
              <a:latin typeface="Arial" panose="020B0604020202020204" pitchFamily="34" charset="0"/>
              <a:cs typeface="Arial" panose="020B0604020202020204" pitchFamily="34" charset="0"/>
            </a:rPr>
            <a:t>Graphical Results here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6</xdr:row>
      <xdr:rowOff>76200</xdr:rowOff>
    </xdr:from>
    <xdr:to>
      <xdr:col>5</xdr:col>
      <xdr:colOff>323849</xdr:colOff>
      <xdr:row>20</xdr:row>
      <xdr:rowOff>97064</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xdr:colOff>
      <xdr:row>6</xdr:row>
      <xdr:rowOff>28575</xdr:rowOff>
    </xdr:from>
    <xdr:to>
      <xdr:col>11</xdr:col>
      <xdr:colOff>361950</xdr:colOff>
      <xdr:row>20</xdr:row>
      <xdr:rowOff>85725</xdr:rowOff>
    </xdr:to>
    <xdr:graphicFrame macro="">
      <xdr:nvGraphicFramePr>
        <xdr:cNvPr id="5" name="Graphique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209550</xdr:colOff>
      <xdr:row>20</xdr:row>
      <xdr:rowOff>142874</xdr:rowOff>
    </xdr:from>
    <xdr:to>
      <xdr:col>5</xdr:col>
      <xdr:colOff>704850</xdr:colOff>
      <xdr:row>38</xdr:row>
      <xdr:rowOff>114299</xdr:rowOff>
    </xdr:to>
    <xdr:graphicFrame macro="">
      <xdr:nvGraphicFramePr>
        <xdr:cNvPr id="6" name="Graphique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628650</xdr:colOff>
      <xdr:row>21</xdr:row>
      <xdr:rowOff>19049</xdr:rowOff>
    </xdr:from>
    <xdr:to>
      <xdr:col>11</xdr:col>
      <xdr:colOff>647699</xdr:colOff>
      <xdr:row>36</xdr:row>
      <xdr:rowOff>123824</xdr:rowOff>
    </xdr:to>
    <xdr:graphicFrame macro="">
      <xdr:nvGraphicFramePr>
        <xdr:cNvPr id="7" name="Graphique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396375</xdr:colOff>
      <xdr:row>0</xdr:row>
      <xdr:rowOff>57150</xdr:rowOff>
    </xdr:from>
    <xdr:to>
      <xdr:col>11</xdr:col>
      <xdr:colOff>714375</xdr:colOff>
      <xdr:row>0</xdr:row>
      <xdr:rowOff>345150</xdr:rowOff>
    </xdr:to>
    <xdr:sp macro="" textlink="">
      <xdr:nvSpPr>
        <xdr:cNvPr id="10" name="Rectangle à coins arrondis 2">
          <a:hlinkClick xmlns:r="http://schemas.openxmlformats.org/officeDocument/2006/relationships" r:id="rId5" tooltip="Scorecard"/>
        </xdr:cNvPr>
        <xdr:cNvSpPr>
          <a:spLocks noChangeArrowheads="1"/>
        </xdr:cNvSpPr>
      </xdr:nvSpPr>
      <xdr:spPr bwMode="auto">
        <a:xfrm>
          <a:off x="8016375" y="5715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8</xdr:col>
      <xdr:colOff>716523</xdr:colOff>
      <xdr:row>0</xdr:row>
      <xdr:rowOff>57150</xdr:rowOff>
    </xdr:from>
    <xdr:to>
      <xdr:col>10</xdr:col>
      <xdr:colOff>272523</xdr:colOff>
      <xdr:row>0</xdr:row>
      <xdr:rowOff>345150</xdr:rowOff>
    </xdr:to>
    <xdr:sp macro="" textlink="">
      <xdr:nvSpPr>
        <xdr:cNvPr id="11" name="Rectangle à coins arrondis 2">
          <a:hlinkClick xmlns:r="http://schemas.openxmlformats.org/officeDocument/2006/relationships" r:id="rId6" tooltip="Instructions"/>
        </xdr:cNvPr>
        <xdr:cNvSpPr>
          <a:spLocks noChangeArrowheads="1"/>
        </xdr:cNvSpPr>
      </xdr:nvSpPr>
      <xdr:spPr bwMode="auto">
        <a:xfrm>
          <a:off x="6812523" y="5715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7</xdr:col>
      <xdr:colOff>272549</xdr:colOff>
      <xdr:row>0</xdr:row>
      <xdr:rowOff>57150</xdr:rowOff>
    </xdr:from>
    <xdr:to>
      <xdr:col>8</xdr:col>
      <xdr:colOff>590549</xdr:colOff>
      <xdr:row>0</xdr:row>
      <xdr:rowOff>345150</xdr:rowOff>
    </xdr:to>
    <xdr:sp macro="" textlink="">
      <xdr:nvSpPr>
        <xdr:cNvPr id="12" name="Rectangle à coins arrondis 2">
          <a:hlinkClick xmlns:r="http://schemas.openxmlformats.org/officeDocument/2006/relationships" r:id="rId7" tooltip="Introduction"/>
        </xdr:cNvPr>
        <xdr:cNvSpPr>
          <a:spLocks noChangeArrowheads="1"/>
        </xdr:cNvSpPr>
      </xdr:nvSpPr>
      <xdr:spPr bwMode="auto">
        <a:xfrm>
          <a:off x="5606549" y="5715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0.75371</cdr:x>
      <cdr:y>0.20329</cdr:y>
    </cdr:from>
    <cdr:to>
      <cdr:x>0.98387</cdr:x>
      <cdr:y>0.2835</cdr:y>
    </cdr:to>
    <cdr:sp macro="" textlink="">
      <cdr:nvSpPr>
        <cdr:cNvPr id="2" name="ZoneTexte 1"/>
        <cdr:cNvSpPr txBox="1"/>
      </cdr:nvSpPr>
      <cdr:spPr>
        <a:xfrm xmlns:a="http://schemas.openxmlformats.org/drawingml/2006/main">
          <a:off x="3115725" y="546412"/>
          <a:ext cx="951450" cy="21558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200" b="1">
              <a:solidFill>
                <a:srgbClr val="FF0000"/>
              </a:solidFill>
            </a:rPr>
            <a:t>Uncertified</a:t>
          </a:r>
        </a:p>
      </cdr:txBody>
    </cdr:sp>
  </cdr:relSizeAnchor>
  <cdr:relSizeAnchor xmlns:cdr="http://schemas.openxmlformats.org/drawingml/2006/chartDrawing">
    <cdr:from>
      <cdr:x>0.71205</cdr:x>
      <cdr:y>0.74638</cdr:y>
    </cdr:from>
    <cdr:to>
      <cdr:x>0.92455</cdr:x>
      <cdr:y>0.8193</cdr:y>
    </cdr:to>
    <cdr:sp macro="" textlink="">
      <cdr:nvSpPr>
        <cdr:cNvPr id="3" name="ZoneTexte 1"/>
        <cdr:cNvSpPr txBox="1"/>
      </cdr:nvSpPr>
      <cdr:spPr>
        <a:xfrm xmlns:a="http://schemas.openxmlformats.org/drawingml/2006/main">
          <a:off x="3119849" y="2006175"/>
          <a:ext cx="931069" cy="19599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fr-FR" sz="1200" b="1">
              <a:solidFill>
                <a:srgbClr val="58B527"/>
              </a:solidFill>
            </a:rPr>
            <a:t>Certified</a:t>
          </a:r>
          <a:endParaRPr lang="fr-FR" sz="1100" b="1">
            <a:solidFill>
              <a:srgbClr val="58B527"/>
            </a:solidFill>
          </a:endParaRPr>
        </a:p>
      </cdr:txBody>
    </cdr:sp>
  </cdr:relSizeAnchor>
  <cdr:relSizeAnchor xmlns:cdr="http://schemas.openxmlformats.org/drawingml/2006/chartDrawing">
    <cdr:from>
      <cdr:x>0.5113</cdr:x>
      <cdr:y>0.91015</cdr:y>
    </cdr:from>
    <cdr:to>
      <cdr:x>0.7238</cdr:x>
      <cdr:y>0.98307</cdr:y>
    </cdr:to>
    <cdr:sp macro="" textlink="">
      <cdr:nvSpPr>
        <cdr:cNvPr id="4" name="ZoneTexte 1"/>
        <cdr:cNvSpPr txBox="1"/>
      </cdr:nvSpPr>
      <cdr:spPr>
        <a:xfrm xmlns:a="http://schemas.openxmlformats.org/drawingml/2006/main">
          <a:off x="2113623" y="2446365"/>
          <a:ext cx="878443" cy="19599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200" b="1">
              <a:solidFill>
                <a:schemeClr val="bg1">
                  <a:lumMod val="50000"/>
                </a:schemeClr>
              </a:solidFill>
            </a:rPr>
            <a:t>Silver</a:t>
          </a:r>
          <a:endParaRPr lang="fr-FR" sz="1100" b="1">
            <a:solidFill>
              <a:schemeClr val="bg1">
                <a:lumMod val="50000"/>
              </a:schemeClr>
            </a:solidFill>
          </a:endParaRPr>
        </a:p>
      </cdr:txBody>
    </cdr:sp>
  </cdr:relSizeAnchor>
  <cdr:relSizeAnchor xmlns:cdr="http://schemas.openxmlformats.org/drawingml/2006/chartDrawing">
    <cdr:from>
      <cdr:x>0.01818</cdr:x>
      <cdr:y>0.39236</cdr:y>
    </cdr:from>
    <cdr:to>
      <cdr:x>0.23068</cdr:x>
      <cdr:y>0.46528</cdr:y>
    </cdr:to>
    <cdr:sp macro="" textlink="">
      <cdr:nvSpPr>
        <cdr:cNvPr id="5" name="ZoneTexte 1"/>
        <cdr:cNvSpPr txBox="1"/>
      </cdr:nvSpPr>
      <cdr:spPr>
        <a:xfrm xmlns:a="http://schemas.openxmlformats.org/drawingml/2006/main">
          <a:off x="75154" y="1054610"/>
          <a:ext cx="878443" cy="19599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r"/>
          <a:r>
            <a:rPr lang="fr-FR" sz="1200" b="1">
              <a:solidFill>
                <a:schemeClr val="accent5">
                  <a:lumMod val="50000"/>
                </a:schemeClr>
              </a:solidFill>
            </a:rPr>
            <a:t>Platinum</a:t>
          </a:r>
          <a:endParaRPr lang="fr-FR" sz="1100" b="1">
            <a:solidFill>
              <a:schemeClr val="accent5">
                <a:lumMod val="50000"/>
              </a:schemeClr>
            </a:solidFill>
          </a:endParaRPr>
        </a:p>
      </cdr:txBody>
    </cdr:sp>
  </cdr:relSizeAnchor>
  <cdr:relSizeAnchor xmlns:cdr="http://schemas.openxmlformats.org/drawingml/2006/chartDrawing">
    <cdr:from>
      <cdr:x>0.21831</cdr:x>
      <cdr:y>0.89611</cdr:y>
    </cdr:from>
    <cdr:to>
      <cdr:x>0.43081</cdr:x>
      <cdr:y>0.96903</cdr:y>
    </cdr:to>
    <cdr:sp macro="" textlink="">
      <cdr:nvSpPr>
        <cdr:cNvPr id="6" name="ZoneTexte 1"/>
        <cdr:cNvSpPr txBox="1"/>
      </cdr:nvSpPr>
      <cdr:spPr>
        <a:xfrm xmlns:a="http://schemas.openxmlformats.org/drawingml/2006/main">
          <a:off x="902481" y="2408622"/>
          <a:ext cx="878443" cy="195999"/>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fr-FR" sz="1200" b="1">
              <a:solidFill>
                <a:srgbClr val="FFC000"/>
              </a:solidFill>
            </a:rPr>
            <a:t>Gold</a:t>
          </a:r>
          <a:endParaRPr lang="fr-FR" sz="1100" b="1">
            <a:solidFill>
              <a:srgbClr val="FFC000"/>
            </a:solidFill>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52913</xdr:colOff>
      <xdr:row>12</xdr:row>
      <xdr:rowOff>127004</xdr:rowOff>
    </xdr:from>
    <xdr:to>
      <xdr:col>1</xdr:col>
      <xdr:colOff>1969413</xdr:colOff>
      <xdr:row>14</xdr:row>
      <xdr:rowOff>36170</xdr:rowOff>
    </xdr:to>
    <xdr:sp macro="" textlink="">
      <xdr:nvSpPr>
        <xdr:cNvPr id="3" name="Rectangle à coins arrondis 2">
          <a:hlinkClick xmlns:r="http://schemas.openxmlformats.org/officeDocument/2006/relationships" r:id="rId1" tooltip="Scorecard"/>
        </xdr:cNvPr>
        <xdr:cNvSpPr>
          <a:spLocks noChangeArrowheads="1"/>
        </xdr:cNvSpPr>
      </xdr:nvSpPr>
      <xdr:spPr bwMode="auto">
        <a:xfrm>
          <a:off x="370413" y="3598337"/>
          <a:ext cx="19165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twoCellAnchor editAs="oneCell">
    <xdr:from>
      <xdr:col>9</xdr:col>
      <xdr:colOff>117531</xdr:colOff>
      <xdr:row>0</xdr:row>
      <xdr:rowOff>21167</xdr:rowOff>
    </xdr:from>
    <xdr:to>
      <xdr:col>11</xdr:col>
      <xdr:colOff>190502</xdr:colOff>
      <xdr:row>2</xdr:row>
      <xdr:rowOff>95293</xdr:rowOff>
    </xdr:to>
    <xdr:pic>
      <xdr:nvPicPr>
        <xdr:cNvPr id="4" name="Image 4" descr="Energy.png"/>
        <xdr:cNvPicPr>
          <a:picLocks noChangeAspect="1"/>
        </xdr:cNvPicPr>
      </xdr:nvPicPr>
      <xdr:blipFill>
        <a:blip xmlns:r="http://schemas.openxmlformats.org/officeDocument/2006/relationships" r:embed="rId2" cstate="print"/>
        <a:srcRect/>
        <a:stretch>
          <a:fillRect/>
        </a:stretch>
      </xdr:blipFill>
      <xdr:spPr bwMode="auto">
        <a:xfrm>
          <a:off x="10573864" y="21167"/>
          <a:ext cx="887888" cy="899626"/>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4</xdr:col>
      <xdr:colOff>619125</xdr:colOff>
      <xdr:row>1</xdr:row>
      <xdr:rowOff>114300</xdr:rowOff>
    </xdr:from>
    <xdr:to>
      <xdr:col>5</xdr:col>
      <xdr:colOff>351900</xdr:colOff>
      <xdr:row>3</xdr:row>
      <xdr:rowOff>21300</xdr:rowOff>
    </xdr:to>
    <xdr:sp macro="" textlink="">
      <xdr:nvSpPr>
        <xdr:cNvPr id="8" name="Rectangle à coins arrondis 2">
          <a:hlinkClick xmlns:r="http://schemas.openxmlformats.org/officeDocument/2006/relationships" r:id="rId1" tooltip="Strategy A"/>
        </xdr:cNvPr>
        <xdr:cNvSpPr>
          <a:spLocks noChangeArrowheads="1"/>
        </xdr:cNvSpPr>
      </xdr:nvSpPr>
      <xdr:spPr bwMode="auto">
        <a:xfrm>
          <a:off x="5038725" y="409575"/>
          <a:ext cx="1152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476249</xdr:colOff>
      <xdr:row>1</xdr:row>
      <xdr:rowOff>114300</xdr:rowOff>
    </xdr:from>
    <xdr:to>
      <xdr:col>6</xdr:col>
      <xdr:colOff>409049</xdr:colOff>
      <xdr:row>3</xdr:row>
      <xdr:rowOff>21300</xdr:rowOff>
    </xdr:to>
    <xdr:sp macro="" textlink="">
      <xdr:nvSpPr>
        <xdr:cNvPr id="9" name="Rectangle à coins arrondis 2">
          <a:hlinkClick xmlns:r="http://schemas.openxmlformats.org/officeDocument/2006/relationships" r:id="rId2" tooltip="Strategy B"/>
        </xdr:cNvPr>
        <xdr:cNvSpPr>
          <a:spLocks noChangeArrowheads="1"/>
        </xdr:cNvSpPr>
      </xdr:nvSpPr>
      <xdr:spPr bwMode="auto">
        <a:xfrm>
          <a:off x="6315074" y="409575"/>
          <a:ext cx="1152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6</xdr:col>
      <xdr:colOff>542923</xdr:colOff>
      <xdr:row>1</xdr:row>
      <xdr:rowOff>114300</xdr:rowOff>
    </xdr:from>
    <xdr:to>
      <xdr:col>7</xdr:col>
      <xdr:colOff>475723</xdr:colOff>
      <xdr:row>3</xdr:row>
      <xdr:rowOff>21300</xdr:rowOff>
    </xdr:to>
    <xdr:sp macro="" textlink="">
      <xdr:nvSpPr>
        <xdr:cNvPr id="10" name="Rectangle à coins arrondis 2">
          <a:hlinkClick xmlns:r="http://schemas.openxmlformats.org/officeDocument/2006/relationships" r:id="rId3" tooltip="Strategy C"/>
        </xdr:cNvPr>
        <xdr:cNvSpPr>
          <a:spLocks noChangeArrowheads="1"/>
        </xdr:cNvSpPr>
      </xdr:nvSpPr>
      <xdr:spPr bwMode="auto">
        <a:xfrm>
          <a:off x="7600948" y="409575"/>
          <a:ext cx="1152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0</xdr:col>
      <xdr:colOff>238125</xdr:colOff>
      <xdr:row>1</xdr:row>
      <xdr:rowOff>114301</xdr:rowOff>
    </xdr:from>
    <xdr:to>
      <xdr:col>2</xdr:col>
      <xdr:colOff>399825</xdr:colOff>
      <xdr:row>3</xdr:row>
      <xdr:rowOff>57301</xdr:rowOff>
    </xdr:to>
    <xdr:sp macro="" textlink="">
      <xdr:nvSpPr>
        <xdr:cNvPr id="12" name="Rectangle à coins arrondis 2">
          <a:hlinkClick xmlns:r="http://schemas.openxmlformats.org/officeDocument/2006/relationships" r:id="rId4" tooltip="Back to Energy"/>
        </xdr:cNvPr>
        <xdr:cNvSpPr>
          <a:spLocks noChangeArrowheads="1"/>
        </xdr:cNvSpPr>
      </xdr:nvSpPr>
      <xdr:spPr bwMode="auto">
        <a:xfrm>
          <a:off x="238125" y="409576"/>
          <a:ext cx="180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838200</xdr:colOff>
      <xdr:row>1</xdr:row>
      <xdr:rowOff>114300</xdr:rowOff>
    </xdr:from>
    <xdr:to>
      <xdr:col>3</xdr:col>
      <xdr:colOff>1247550</xdr:colOff>
      <xdr:row>3</xdr:row>
      <xdr:rowOff>57300</xdr:rowOff>
    </xdr:to>
    <xdr:sp macro="" textlink="">
      <xdr:nvSpPr>
        <xdr:cNvPr id="13" name="Rectangle à coins arrondis 2">
          <a:hlinkClick xmlns:r="http://schemas.openxmlformats.org/officeDocument/2006/relationships" r:id="rId5" tooltip="See the Scorecard"/>
        </xdr:cNvPr>
        <xdr:cNvSpPr>
          <a:spLocks noChangeArrowheads="1"/>
        </xdr:cNvSpPr>
      </xdr:nvSpPr>
      <xdr:spPr bwMode="auto">
        <a:xfrm>
          <a:off x="2476500" y="409575"/>
          <a:ext cx="180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7</xdr:col>
      <xdr:colOff>128175</xdr:colOff>
      <xdr:row>18</xdr:row>
      <xdr:rowOff>104775</xdr:rowOff>
    </xdr:from>
    <xdr:to>
      <xdr:col>12</xdr:col>
      <xdr:colOff>571500</xdr:colOff>
      <xdr:row>39</xdr:row>
      <xdr:rowOff>10428</xdr:rowOff>
    </xdr:to>
    <xdr:pic>
      <xdr:nvPicPr>
        <xdr:cNvPr id="3" name="Picture 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405400" y="5276850"/>
          <a:ext cx="4320000" cy="4325253"/>
        </a:xfrm>
        <a:prstGeom prst="rect">
          <a:avLst/>
        </a:prstGeom>
      </xdr:spPr>
    </xdr:pic>
    <xdr:clientData/>
  </xdr:twoCellAnchor>
  <xdr:twoCellAnchor editAs="oneCell">
    <xdr:from>
      <xdr:col>1</xdr:col>
      <xdr:colOff>28575</xdr:colOff>
      <xdr:row>19</xdr:row>
      <xdr:rowOff>133350</xdr:rowOff>
    </xdr:from>
    <xdr:to>
      <xdr:col>1</xdr:col>
      <xdr:colOff>388575</xdr:colOff>
      <xdr:row>21</xdr:row>
      <xdr:rowOff>112350</xdr:rowOff>
    </xdr:to>
    <xdr:pic>
      <xdr:nvPicPr>
        <xdr:cNvPr id="15" name="Picture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 y="5572125"/>
          <a:ext cx="360000" cy="360000"/>
        </a:xfrm>
        <a:prstGeom prst="rect">
          <a:avLst/>
        </a:prstGeom>
      </xdr:spPr>
    </xdr:pic>
    <xdr:clientData/>
  </xdr:twoCellAnchor>
  <xdr:oneCellAnchor>
    <xdr:from>
      <xdr:col>1</xdr:col>
      <xdr:colOff>0</xdr:colOff>
      <xdr:row>22</xdr:row>
      <xdr:rowOff>0</xdr:rowOff>
    </xdr:from>
    <xdr:ext cx="401641" cy="396000"/>
    <xdr:pic>
      <xdr:nvPicPr>
        <xdr:cNvPr id="16" name="Picture 1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47650" y="5819775"/>
          <a:ext cx="401641" cy="396000"/>
        </a:xfrm>
        <a:prstGeom prst="rect">
          <a:avLst/>
        </a:prstGeom>
      </xdr:spPr>
    </xdr:pic>
    <xdr:clientData/>
  </xdr:oneCellAnchor>
  <xdr:twoCellAnchor editAs="oneCell">
    <xdr:from>
      <xdr:col>1</xdr:col>
      <xdr:colOff>38100</xdr:colOff>
      <xdr:row>26</xdr:row>
      <xdr:rowOff>123825</xdr:rowOff>
    </xdr:from>
    <xdr:to>
      <xdr:col>1</xdr:col>
      <xdr:colOff>398100</xdr:colOff>
      <xdr:row>28</xdr:row>
      <xdr:rowOff>83775</xdr:rowOff>
    </xdr:to>
    <xdr:pic>
      <xdr:nvPicPr>
        <xdr:cNvPr id="17"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0" y="6877050"/>
          <a:ext cx="360000" cy="360000"/>
        </a:xfrm>
        <a:prstGeom prst="rect">
          <a:avLst/>
        </a:prstGeom>
      </xdr:spPr>
    </xdr:pic>
    <xdr:clientData/>
  </xdr:twoCellAnchor>
  <xdr:twoCellAnchor editAs="oneCell">
    <xdr:from>
      <xdr:col>1</xdr:col>
      <xdr:colOff>28575</xdr:colOff>
      <xdr:row>51</xdr:row>
      <xdr:rowOff>142875</xdr:rowOff>
    </xdr:from>
    <xdr:to>
      <xdr:col>1</xdr:col>
      <xdr:colOff>388575</xdr:colOff>
      <xdr:row>53</xdr:row>
      <xdr:rowOff>102825</xdr:rowOff>
    </xdr:to>
    <xdr:pic>
      <xdr:nvPicPr>
        <xdr:cNvPr id="18" name="Picture 1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 y="12192000"/>
          <a:ext cx="360000" cy="360000"/>
        </a:xfrm>
        <a:prstGeom prst="rect">
          <a:avLst/>
        </a:prstGeom>
      </xdr:spPr>
    </xdr:pic>
    <xdr:clientData/>
  </xdr:twoCellAnchor>
  <xdr:twoCellAnchor editAs="oneCell">
    <xdr:from>
      <xdr:col>1</xdr:col>
      <xdr:colOff>38100</xdr:colOff>
      <xdr:row>57</xdr:row>
      <xdr:rowOff>133350</xdr:rowOff>
    </xdr:from>
    <xdr:to>
      <xdr:col>1</xdr:col>
      <xdr:colOff>398100</xdr:colOff>
      <xdr:row>59</xdr:row>
      <xdr:rowOff>36150</xdr:rowOff>
    </xdr:to>
    <xdr:pic>
      <xdr:nvPicPr>
        <xdr:cNvPr id="19" name="Picture 1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13744575"/>
          <a:ext cx="360000" cy="360000"/>
        </a:xfrm>
        <a:prstGeom prst="rect">
          <a:avLst/>
        </a:prstGeom>
      </xdr:spPr>
    </xdr:pic>
    <xdr:clientData/>
  </xdr:twoCellAnchor>
  <xdr:oneCellAnchor>
    <xdr:from>
      <xdr:col>1</xdr:col>
      <xdr:colOff>38100</xdr:colOff>
      <xdr:row>55</xdr:row>
      <xdr:rowOff>104775</xdr:rowOff>
    </xdr:from>
    <xdr:ext cx="360000" cy="360000"/>
    <xdr:pic>
      <xdr:nvPicPr>
        <xdr:cNvPr id="20" name="Picture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0" y="7124700"/>
          <a:ext cx="360000" cy="360000"/>
        </a:xfrm>
        <a:prstGeom prst="rect">
          <a:avLst/>
        </a:prstGeom>
      </xdr:spPr>
    </xdr:pic>
    <xdr:clientData/>
  </xdr:oneCellAnchor>
  <xdr:twoCellAnchor editAs="oneCell">
    <xdr:from>
      <xdr:col>1</xdr:col>
      <xdr:colOff>47625</xdr:colOff>
      <xdr:row>80</xdr:row>
      <xdr:rowOff>47625</xdr:rowOff>
    </xdr:from>
    <xdr:to>
      <xdr:col>1</xdr:col>
      <xdr:colOff>515625</xdr:colOff>
      <xdr:row>82</xdr:row>
      <xdr:rowOff>96525</xdr:rowOff>
    </xdr:to>
    <xdr:pic>
      <xdr:nvPicPr>
        <xdr:cNvPr id="21" name="Picture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5275" y="18373725"/>
          <a:ext cx="468000" cy="468000"/>
        </a:xfrm>
        <a:prstGeom prst="rect">
          <a:avLst/>
        </a:prstGeom>
      </xdr:spPr>
    </xdr:pic>
    <xdr:clientData/>
  </xdr:twoCellAnchor>
  <xdr:twoCellAnchor>
    <xdr:from>
      <xdr:col>7</xdr:col>
      <xdr:colOff>790575</xdr:colOff>
      <xdr:row>1</xdr:row>
      <xdr:rowOff>85725</xdr:rowOff>
    </xdr:from>
    <xdr:to>
      <xdr:col>8</xdr:col>
      <xdr:colOff>19050</xdr:colOff>
      <xdr:row>3</xdr:row>
      <xdr:rowOff>57150</xdr:rowOff>
    </xdr:to>
    <xdr:sp macro="" textlink="">
      <xdr:nvSpPr>
        <xdr:cNvPr id="25" name="Up Arrow 24">
          <a:hlinkClick xmlns:r="http://schemas.openxmlformats.org/officeDocument/2006/relationships" r:id="rId12" tooltip="Back to top"/>
        </xdr:cNvPr>
        <xdr:cNvSpPr/>
      </xdr:nvSpPr>
      <xdr:spPr>
        <a:xfrm>
          <a:off x="9067800" y="381000"/>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38100</xdr:colOff>
      <xdr:row>89</xdr:row>
      <xdr:rowOff>19050</xdr:rowOff>
    </xdr:from>
    <xdr:ext cx="360000" cy="360000"/>
    <xdr:pic>
      <xdr:nvPicPr>
        <xdr:cNvPr id="26" name="Picture 2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19183350"/>
          <a:ext cx="360000" cy="360000"/>
        </a:xfrm>
        <a:prstGeom prst="rect">
          <a:avLst/>
        </a:prstGeom>
      </xdr:spPr>
    </xdr:pic>
    <xdr:clientData/>
  </xdr:oneCellAnchor>
  <xdr:twoCellAnchor editAs="oneCell">
    <xdr:from>
      <xdr:col>1</xdr:col>
      <xdr:colOff>38100</xdr:colOff>
      <xdr:row>93</xdr:row>
      <xdr:rowOff>95250</xdr:rowOff>
    </xdr:from>
    <xdr:to>
      <xdr:col>1</xdr:col>
      <xdr:colOff>398100</xdr:colOff>
      <xdr:row>95</xdr:row>
      <xdr:rowOff>36150</xdr:rowOff>
    </xdr:to>
    <xdr:pic>
      <xdr:nvPicPr>
        <xdr:cNvPr id="27" name="Picture 26"/>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5750" y="21412200"/>
          <a:ext cx="360000" cy="302850"/>
        </a:xfrm>
        <a:prstGeom prst="rect">
          <a:avLst/>
        </a:prstGeom>
      </xdr:spPr>
    </xdr:pic>
    <xdr:clientData/>
  </xdr:twoCellAnchor>
  <xdr:twoCellAnchor>
    <xdr:from>
      <xdr:col>5</xdr:col>
      <xdr:colOff>876300</xdr:colOff>
      <xdr:row>99</xdr:row>
      <xdr:rowOff>9525</xdr:rowOff>
    </xdr:from>
    <xdr:to>
      <xdr:col>7</xdr:col>
      <xdr:colOff>457200</xdr:colOff>
      <xdr:row>101</xdr:row>
      <xdr:rowOff>19050</xdr:rowOff>
    </xdr:to>
    <xdr:sp macro="" textlink="">
      <xdr:nvSpPr>
        <xdr:cNvPr id="28" name="Rectangle à coins arrondis 2">
          <a:hlinkClick xmlns:r="http://schemas.openxmlformats.org/officeDocument/2006/relationships" r:id="rId14" tooltip="Resources"/>
        </xdr:cNvPr>
        <xdr:cNvSpPr>
          <a:spLocks noChangeArrowheads="1"/>
        </xdr:cNvSpPr>
      </xdr:nvSpPr>
      <xdr:spPr bwMode="auto">
        <a:xfrm>
          <a:off x="6715125" y="22936200"/>
          <a:ext cx="2019300" cy="447675"/>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calculate the A coefficient</a:t>
          </a:r>
        </a:p>
      </xdr:txBody>
    </xdr:sp>
    <xdr:clientData/>
  </xdr:twoCellAnchor>
  <xdr:oneCellAnchor>
    <xdr:from>
      <xdr:col>1</xdr:col>
      <xdr:colOff>38100</xdr:colOff>
      <xdr:row>109</xdr:row>
      <xdr:rowOff>76200</xdr:rowOff>
    </xdr:from>
    <xdr:ext cx="360000" cy="360000"/>
    <xdr:pic>
      <xdr:nvPicPr>
        <xdr:cNvPr id="29" name="Picture 2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85750" y="25222200"/>
          <a:ext cx="360000" cy="360000"/>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0</xdr:col>
      <xdr:colOff>190500</xdr:colOff>
      <xdr:row>1</xdr:row>
      <xdr:rowOff>114301</xdr:rowOff>
    </xdr:from>
    <xdr:to>
      <xdr:col>2</xdr:col>
      <xdr:colOff>816975</xdr:colOff>
      <xdr:row>3</xdr:row>
      <xdr:rowOff>57301</xdr:rowOff>
    </xdr:to>
    <xdr:sp macro="" textlink="">
      <xdr:nvSpPr>
        <xdr:cNvPr id="5" name="Rectangle à coins arrondis 2">
          <a:hlinkClick xmlns:r="http://schemas.openxmlformats.org/officeDocument/2006/relationships" r:id="rId1" tooltip="Back to Energy"/>
        </xdr:cNvPr>
        <xdr:cNvSpPr>
          <a:spLocks noChangeArrowheads="1"/>
        </xdr:cNvSpPr>
      </xdr:nvSpPr>
      <xdr:spPr bwMode="auto">
        <a:xfrm>
          <a:off x="190500" y="457201"/>
          <a:ext cx="216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5</xdr:col>
      <xdr:colOff>971549</xdr:colOff>
      <xdr:row>5</xdr:row>
      <xdr:rowOff>28575</xdr:rowOff>
    </xdr:from>
    <xdr:to>
      <xdr:col>6</xdr:col>
      <xdr:colOff>1205099</xdr:colOff>
      <xdr:row>6</xdr:row>
      <xdr:rowOff>30825</xdr:rowOff>
    </xdr:to>
    <xdr:sp macro="" textlink="">
      <xdr:nvSpPr>
        <xdr:cNvPr id="4" name="Rectangle à coins arrondis 2">
          <a:hlinkClick xmlns:r="http://schemas.openxmlformats.org/officeDocument/2006/relationships" r:id="rId2" tooltip="Prescriptive Path"/>
        </xdr:cNvPr>
        <xdr:cNvSpPr>
          <a:spLocks noChangeArrowheads="1"/>
        </xdr:cNvSpPr>
      </xdr:nvSpPr>
      <xdr:spPr bwMode="auto">
        <a:xfrm>
          <a:off x="6448424" y="1209675"/>
          <a:ext cx="1548000" cy="2689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7</xdr:col>
      <xdr:colOff>180973</xdr:colOff>
      <xdr:row>5</xdr:row>
      <xdr:rowOff>19050</xdr:rowOff>
    </xdr:from>
    <xdr:to>
      <xdr:col>8</xdr:col>
      <xdr:colOff>414523</xdr:colOff>
      <xdr:row>6</xdr:row>
      <xdr:rowOff>21300</xdr:rowOff>
    </xdr:to>
    <xdr:sp macro="" textlink="">
      <xdr:nvSpPr>
        <xdr:cNvPr id="7" name="Rectangle à coins arrondis 2">
          <a:hlinkClick xmlns:r="http://schemas.openxmlformats.org/officeDocument/2006/relationships" r:id="rId3" tooltip="Performance Path"/>
        </xdr:cNvPr>
        <xdr:cNvSpPr>
          <a:spLocks noChangeArrowheads="1"/>
        </xdr:cNvSpPr>
      </xdr:nvSpPr>
      <xdr:spPr bwMode="auto">
        <a:xfrm>
          <a:off x="8286748" y="1200150"/>
          <a:ext cx="1548000" cy="26895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5</xdr:col>
      <xdr:colOff>447675</xdr:colOff>
      <xdr:row>5</xdr:row>
      <xdr:rowOff>38100</xdr:rowOff>
    </xdr:from>
    <xdr:to>
      <xdr:col>5</xdr:col>
      <xdr:colOff>807675</xdr:colOff>
      <xdr:row>6</xdr:row>
      <xdr:rowOff>30825</xdr:rowOff>
    </xdr:to>
    <xdr:sp macro="" textlink="">
      <xdr:nvSpPr>
        <xdr:cNvPr id="8" name="Flèche droite 7"/>
        <xdr:cNvSpPr/>
      </xdr:nvSpPr>
      <xdr:spPr>
        <a:xfrm>
          <a:off x="5924550" y="1219200"/>
          <a:ext cx="360000" cy="259425"/>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3</xdr:col>
      <xdr:colOff>209550</xdr:colOff>
      <xdr:row>1</xdr:row>
      <xdr:rowOff>104775</xdr:rowOff>
    </xdr:from>
    <xdr:to>
      <xdr:col>4</xdr:col>
      <xdr:colOff>1055100</xdr:colOff>
      <xdr:row>3</xdr:row>
      <xdr:rowOff>47775</xdr:rowOff>
    </xdr:to>
    <xdr:sp macro="" textlink="">
      <xdr:nvSpPr>
        <xdr:cNvPr id="9" name="Rectangle à coins arrondis 2">
          <a:hlinkClick xmlns:r="http://schemas.openxmlformats.org/officeDocument/2006/relationships" r:id="rId4" tooltip="See the Scorecard"/>
        </xdr:cNvPr>
        <xdr:cNvSpPr>
          <a:spLocks noChangeArrowheads="1"/>
        </xdr:cNvSpPr>
      </xdr:nvSpPr>
      <xdr:spPr bwMode="auto">
        <a:xfrm>
          <a:off x="3057525" y="4476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28575</xdr:colOff>
      <xdr:row>38</xdr:row>
      <xdr:rowOff>142875</xdr:rowOff>
    </xdr:from>
    <xdr:ext cx="360000" cy="360000"/>
    <xdr:pic>
      <xdr:nvPicPr>
        <xdr:cNvPr id="10" name="Picture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7650" y="10506075"/>
          <a:ext cx="360000" cy="360000"/>
        </a:xfrm>
        <a:prstGeom prst="rect">
          <a:avLst/>
        </a:prstGeom>
      </xdr:spPr>
    </xdr:pic>
    <xdr:clientData/>
  </xdr:oneCellAnchor>
  <xdr:twoCellAnchor editAs="oneCell">
    <xdr:from>
      <xdr:col>1</xdr:col>
      <xdr:colOff>38100</xdr:colOff>
      <xdr:row>34</xdr:row>
      <xdr:rowOff>76200</xdr:rowOff>
    </xdr:from>
    <xdr:to>
      <xdr:col>1</xdr:col>
      <xdr:colOff>542100</xdr:colOff>
      <xdr:row>37</xdr:row>
      <xdr:rowOff>8700</xdr:rowOff>
    </xdr:to>
    <xdr:pic>
      <xdr:nvPicPr>
        <xdr:cNvPr id="11" name="Picture 1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8848725"/>
          <a:ext cx="504000" cy="504000"/>
        </a:xfrm>
        <a:prstGeom prst="rect">
          <a:avLst/>
        </a:prstGeom>
      </xdr:spPr>
    </xdr:pic>
    <xdr:clientData/>
  </xdr:twoCellAnchor>
  <xdr:oneCellAnchor>
    <xdr:from>
      <xdr:col>1</xdr:col>
      <xdr:colOff>66675</xdr:colOff>
      <xdr:row>67</xdr:row>
      <xdr:rowOff>123825</xdr:rowOff>
    </xdr:from>
    <xdr:ext cx="540000" cy="540000"/>
    <xdr:pic>
      <xdr:nvPicPr>
        <xdr:cNvPr id="12" name="Picture 1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14325" y="15659100"/>
          <a:ext cx="540000" cy="540000"/>
        </a:xfrm>
        <a:prstGeom prst="rect">
          <a:avLst/>
        </a:prstGeom>
      </xdr:spPr>
    </xdr:pic>
    <xdr:clientData/>
  </xdr:oneCellAnchor>
  <xdr:oneCellAnchor>
    <xdr:from>
      <xdr:col>1</xdr:col>
      <xdr:colOff>28575</xdr:colOff>
      <xdr:row>72</xdr:row>
      <xdr:rowOff>114300</xdr:rowOff>
    </xdr:from>
    <xdr:ext cx="360000" cy="360000"/>
    <xdr:pic>
      <xdr:nvPicPr>
        <xdr:cNvPr id="13" name="Picture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6225" y="16411575"/>
          <a:ext cx="360000" cy="360000"/>
        </a:xfrm>
        <a:prstGeom prst="rect">
          <a:avLst/>
        </a:prstGeom>
      </xdr:spPr>
    </xdr:pic>
    <xdr:clientData/>
  </xdr:oneCellAnchor>
  <xdr:oneCellAnchor>
    <xdr:from>
      <xdr:col>1</xdr:col>
      <xdr:colOff>76200</xdr:colOff>
      <xdr:row>99</xdr:row>
      <xdr:rowOff>85725</xdr:rowOff>
    </xdr:from>
    <xdr:ext cx="432000" cy="432000"/>
    <xdr:pic>
      <xdr:nvPicPr>
        <xdr:cNvPr id="16" name="Picture 1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850" y="22888575"/>
          <a:ext cx="432000" cy="432000"/>
        </a:xfrm>
        <a:prstGeom prst="rect">
          <a:avLst/>
        </a:prstGeom>
      </xdr:spPr>
    </xdr:pic>
    <xdr:clientData/>
  </xdr:oneCellAnchor>
  <xdr:oneCellAnchor>
    <xdr:from>
      <xdr:col>1</xdr:col>
      <xdr:colOff>47625</xdr:colOff>
      <xdr:row>106</xdr:row>
      <xdr:rowOff>114300</xdr:rowOff>
    </xdr:from>
    <xdr:ext cx="360000" cy="360000"/>
    <xdr:pic>
      <xdr:nvPicPr>
        <xdr:cNvPr id="17" name="Picture 1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5275" y="24250650"/>
          <a:ext cx="360000" cy="360000"/>
        </a:xfrm>
        <a:prstGeom prst="rect">
          <a:avLst/>
        </a:prstGeom>
      </xdr:spPr>
    </xdr:pic>
    <xdr:clientData/>
  </xdr:oneCellAnchor>
  <xdr:twoCellAnchor>
    <xdr:from>
      <xdr:col>1</xdr:col>
      <xdr:colOff>0</xdr:colOff>
      <xdr:row>26</xdr:row>
      <xdr:rowOff>180975</xdr:rowOff>
    </xdr:from>
    <xdr:to>
      <xdr:col>2</xdr:col>
      <xdr:colOff>1725</xdr:colOff>
      <xdr:row>28</xdr:row>
      <xdr:rowOff>11775</xdr:rowOff>
    </xdr:to>
    <xdr:sp macro="" textlink="">
      <xdr:nvSpPr>
        <xdr:cNvPr id="14" name="Rectangle à coins arrondis 2">
          <a:hlinkClick xmlns:r="http://schemas.openxmlformats.org/officeDocument/2006/relationships" r:id="rId9" tooltip="Strategy A"/>
        </xdr:cNvPr>
        <xdr:cNvSpPr>
          <a:spLocks noChangeArrowheads="1"/>
        </xdr:cNvSpPr>
      </xdr:nvSpPr>
      <xdr:spPr bwMode="auto">
        <a:xfrm>
          <a:off x="247650" y="8362950"/>
          <a:ext cx="13923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2</xdr:col>
      <xdr:colOff>323849</xdr:colOff>
      <xdr:row>26</xdr:row>
      <xdr:rowOff>190500</xdr:rowOff>
    </xdr:from>
    <xdr:to>
      <xdr:col>3</xdr:col>
      <xdr:colOff>277949</xdr:colOff>
      <xdr:row>28</xdr:row>
      <xdr:rowOff>21300</xdr:rowOff>
    </xdr:to>
    <xdr:sp macro="" textlink="">
      <xdr:nvSpPr>
        <xdr:cNvPr id="15" name="Rectangle à coins arrondis 2">
          <a:hlinkClick xmlns:r="http://schemas.openxmlformats.org/officeDocument/2006/relationships" r:id="rId10" tooltip="Strategy B"/>
        </xdr:cNvPr>
        <xdr:cNvSpPr>
          <a:spLocks noChangeArrowheads="1"/>
        </xdr:cNvSpPr>
      </xdr:nvSpPr>
      <xdr:spPr bwMode="auto">
        <a:xfrm>
          <a:off x="1962149" y="8372475"/>
          <a:ext cx="13542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3</xdr:col>
      <xdr:colOff>600075</xdr:colOff>
      <xdr:row>26</xdr:row>
      <xdr:rowOff>200025</xdr:rowOff>
    </xdr:from>
    <xdr:to>
      <xdr:col>4</xdr:col>
      <xdr:colOff>630375</xdr:colOff>
      <xdr:row>28</xdr:row>
      <xdr:rowOff>30825</xdr:rowOff>
    </xdr:to>
    <xdr:sp macro="" textlink="">
      <xdr:nvSpPr>
        <xdr:cNvPr id="18" name="Rectangle à coins arrondis 2">
          <a:hlinkClick xmlns:r="http://schemas.openxmlformats.org/officeDocument/2006/relationships" r:id="rId11" tooltip="Strategy C"/>
        </xdr:cNvPr>
        <xdr:cNvSpPr>
          <a:spLocks noChangeArrowheads="1"/>
        </xdr:cNvSpPr>
      </xdr:nvSpPr>
      <xdr:spPr bwMode="auto">
        <a:xfrm>
          <a:off x="3638550" y="8382000"/>
          <a:ext cx="13923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4</xdr:col>
      <xdr:colOff>952499</xdr:colOff>
      <xdr:row>26</xdr:row>
      <xdr:rowOff>209550</xdr:rowOff>
    </xdr:from>
    <xdr:to>
      <xdr:col>5</xdr:col>
      <xdr:colOff>944699</xdr:colOff>
      <xdr:row>28</xdr:row>
      <xdr:rowOff>40350</xdr:rowOff>
    </xdr:to>
    <xdr:sp macro="" textlink="">
      <xdr:nvSpPr>
        <xdr:cNvPr id="19" name="Rectangle à coins arrondis 2">
          <a:hlinkClick xmlns:r="http://schemas.openxmlformats.org/officeDocument/2006/relationships" r:id="rId12" tooltip="Strategy D"/>
        </xdr:cNvPr>
        <xdr:cNvSpPr>
          <a:spLocks noChangeArrowheads="1"/>
        </xdr:cNvSpPr>
      </xdr:nvSpPr>
      <xdr:spPr bwMode="auto">
        <a:xfrm>
          <a:off x="5353049" y="8391525"/>
          <a:ext cx="13542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xdr:from>
      <xdr:col>1</xdr:col>
      <xdr:colOff>0</xdr:colOff>
      <xdr:row>170</xdr:row>
      <xdr:rowOff>180975</xdr:rowOff>
    </xdr:from>
    <xdr:to>
      <xdr:col>2</xdr:col>
      <xdr:colOff>1725</xdr:colOff>
      <xdr:row>172</xdr:row>
      <xdr:rowOff>11775</xdr:rowOff>
    </xdr:to>
    <xdr:sp macro="" textlink="">
      <xdr:nvSpPr>
        <xdr:cNvPr id="20" name="Rectangle à coins arrondis 2">
          <a:hlinkClick xmlns:r="http://schemas.openxmlformats.org/officeDocument/2006/relationships" r:id="rId13" tooltip="Strategy A"/>
        </xdr:cNvPr>
        <xdr:cNvSpPr>
          <a:spLocks noChangeArrowheads="1"/>
        </xdr:cNvSpPr>
      </xdr:nvSpPr>
      <xdr:spPr bwMode="auto">
        <a:xfrm>
          <a:off x="247650" y="34671000"/>
          <a:ext cx="13923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2</xdr:col>
      <xdr:colOff>323849</xdr:colOff>
      <xdr:row>170</xdr:row>
      <xdr:rowOff>190500</xdr:rowOff>
    </xdr:from>
    <xdr:to>
      <xdr:col>3</xdr:col>
      <xdr:colOff>277949</xdr:colOff>
      <xdr:row>172</xdr:row>
      <xdr:rowOff>21300</xdr:rowOff>
    </xdr:to>
    <xdr:sp macro="" textlink="">
      <xdr:nvSpPr>
        <xdr:cNvPr id="21" name="Rectangle à coins arrondis 2">
          <a:hlinkClick xmlns:r="http://schemas.openxmlformats.org/officeDocument/2006/relationships" r:id="rId14" tooltip="Strategy B"/>
        </xdr:cNvPr>
        <xdr:cNvSpPr>
          <a:spLocks noChangeArrowheads="1"/>
        </xdr:cNvSpPr>
      </xdr:nvSpPr>
      <xdr:spPr bwMode="auto">
        <a:xfrm>
          <a:off x="1962149" y="34680525"/>
          <a:ext cx="13542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3</xdr:col>
      <xdr:colOff>600075</xdr:colOff>
      <xdr:row>170</xdr:row>
      <xdr:rowOff>200025</xdr:rowOff>
    </xdr:from>
    <xdr:to>
      <xdr:col>4</xdr:col>
      <xdr:colOff>630375</xdr:colOff>
      <xdr:row>172</xdr:row>
      <xdr:rowOff>30825</xdr:rowOff>
    </xdr:to>
    <xdr:sp macro="" textlink="">
      <xdr:nvSpPr>
        <xdr:cNvPr id="22" name="Rectangle à coins arrondis 2">
          <a:hlinkClick xmlns:r="http://schemas.openxmlformats.org/officeDocument/2006/relationships" r:id="rId15" tooltip="Strategy C"/>
        </xdr:cNvPr>
        <xdr:cNvSpPr>
          <a:spLocks noChangeArrowheads="1"/>
        </xdr:cNvSpPr>
      </xdr:nvSpPr>
      <xdr:spPr bwMode="auto">
        <a:xfrm>
          <a:off x="3638550" y="34690050"/>
          <a:ext cx="13923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oneCellAnchor>
    <xdr:from>
      <xdr:col>1</xdr:col>
      <xdr:colOff>76199</xdr:colOff>
      <xdr:row>103</xdr:row>
      <xdr:rowOff>57150</xdr:rowOff>
    </xdr:from>
    <xdr:ext cx="474667" cy="468000"/>
    <xdr:pic>
      <xdr:nvPicPr>
        <xdr:cNvPr id="23" name="Picture 22"/>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23849" y="23831550"/>
          <a:ext cx="474667" cy="468000"/>
        </a:xfrm>
        <a:prstGeom prst="rect">
          <a:avLst/>
        </a:prstGeom>
      </xdr:spPr>
    </xdr:pic>
    <xdr:clientData/>
  </xdr:oneCellAnchor>
  <xdr:oneCellAnchor>
    <xdr:from>
      <xdr:col>1</xdr:col>
      <xdr:colOff>28575</xdr:colOff>
      <xdr:row>133</xdr:row>
      <xdr:rowOff>190500</xdr:rowOff>
    </xdr:from>
    <xdr:ext cx="540000" cy="540000"/>
    <xdr:pic>
      <xdr:nvPicPr>
        <xdr:cNvPr id="24" name="Picture 2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 y="30289500"/>
          <a:ext cx="540000" cy="540000"/>
        </a:xfrm>
        <a:prstGeom prst="rect">
          <a:avLst/>
        </a:prstGeom>
      </xdr:spPr>
    </xdr:pic>
    <xdr:clientData/>
  </xdr:oneCellAnchor>
  <xdr:twoCellAnchor editAs="oneCell">
    <xdr:from>
      <xdr:col>1</xdr:col>
      <xdr:colOff>47625</xdr:colOff>
      <xdr:row>142</xdr:row>
      <xdr:rowOff>142875</xdr:rowOff>
    </xdr:from>
    <xdr:to>
      <xdr:col>1</xdr:col>
      <xdr:colOff>407625</xdr:colOff>
      <xdr:row>144</xdr:row>
      <xdr:rowOff>83775</xdr:rowOff>
    </xdr:to>
    <xdr:pic>
      <xdr:nvPicPr>
        <xdr:cNvPr id="25" name="Picture 24"/>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95275" y="32127825"/>
          <a:ext cx="360000" cy="360000"/>
        </a:xfrm>
        <a:prstGeom prst="rect">
          <a:avLst/>
        </a:prstGeom>
      </xdr:spPr>
    </xdr:pic>
    <xdr:clientData/>
  </xdr:twoCellAnchor>
  <xdr:oneCellAnchor>
    <xdr:from>
      <xdr:col>1</xdr:col>
      <xdr:colOff>47625</xdr:colOff>
      <xdr:row>144</xdr:row>
      <xdr:rowOff>142875</xdr:rowOff>
    </xdr:from>
    <xdr:ext cx="360000" cy="360000"/>
    <xdr:pic>
      <xdr:nvPicPr>
        <xdr:cNvPr id="26" name="Picture 2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5275" y="32546925"/>
          <a:ext cx="360000" cy="360000"/>
        </a:xfrm>
        <a:prstGeom prst="rect">
          <a:avLst/>
        </a:prstGeom>
      </xdr:spPr>
    </xdr:pic>
    <xdr:clientData/>
  </xdr:oneCellAnchor>
  <xdr:oneCellAnchor>
    <xdr:from>
      <xdr:col>1</xdr:col>
      <xdr:colOff>28575</xdr:colOff>
      <xdr:row>177</xdr:row>
      <xdr:rowOff>0</xdr:rowOff>
    </xdr:from>
    <xdr:ext cx="396000" cy="396000"/>
    <xdr:pic>
      <xdr:nvPicPr>
        <xdr:cNvPr id="27" name="Picture 26"/>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47650" y="39862125"/>
          <a:ext cx="396000" cy="396000"/>
        </a:xfrm>
        <a:prstGeom prst="rect">
          <a:avLst/>
        </a:prstGeom>
      </xdr:spPr>
    </xdr:pic>
    <xdr:clientData/>
  </xdr:oneCellAnchor>
  <xdr:oneCellAnchor>
    <xdr:from>
      <xdr:col>1</xdr:col>
      <xdr:colOff>38100</xdr:colOff>
      <xdr:row>182</xdr:row>
      <xdr:rowOff>19050</xdr:rowOff>
    </xdr:from>
    <xdr:ext cx="360000" cy="360000"/>
    <xdr:pic>
      <xdr:nvPicPr>
        <xdr:cNvPr id="28" name="Picture 2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7175" y="40833675"/>
          <a:ext cx="360000" cy="360000"/>
        </a:xfrm>
        <a:prstGeom prst="rect">
          <a:avLst/>
        </a:prstGeom>
      </xdr:spPr>
    </xdr:pic>
    <xdr:clientData/>
  </xdr:oneCellAnchor>
  <xdr:oneCellAnchor>
    <xdr:from>
      <xdr:col>1</xdr:col>
      <xdr:colOff>28576</xdr:colOff>
      <xdr:row>179</xdr:row>
      <xdr:rowOff>85725</xdr:rowOff>
    </xdr:from>
    <xdr:ext cx="401641" cy="396000"/>
    <xdr:pic>
      <xdr:nvPicPr>
        <xdr:cNvPr id="29" name="Picture 28"/>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47651" y="40347900"/>
          <a:ext cx="401641" cy="396000"/>
        </a:xfrm>
        <a:prstGeom prst="rect">
          <a:avLst/>
        </a:prstGeom>
      </xdr:spPr>
    </xdr:pic>
    <xdr:clientData/>
  </xdr:oneCellAnchor>
  <xdr:oneCellAnchor>
    <xdr:from>
      <xdr:col>1</xdr:col>
      <xdr:colOff>28575</xdr:colOff>
      <xdr:row>211</xdr:row>
      <xdr:rowOff>104775</xdr:rowOff>
    </xdr:from>
    <xdr:ext cx="396000" cy="396000"/>
    <xdr:pic>
      <xdr:nvPicPr>
        <xdr:cNvPr id="30" name="Picture 29"/>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47650" y="46996350"/>
          <a:ext cx="396000" cy="396000"/>
        </a:xfrm>
        <a:prstGeom prst="rect">
          <a:avLst/>
        </a:prstGeom>
      </xdr:spPr>
    </xdr:pic>
    <xdr:clientData/>
  </xdr:oneCellAnchor>
  <xdr:oneCellAnchor>
    <xdr:from>
      <xdr:col>1</xdr:col>
      <xdr:colOff>76200</xdr:colOff>
      <xdr:row>230</xdr:row>
      <xdr:rowOff>104775</xdr:rowOff>
    </xdr:from>
    <xdr:ext cx="360000" cy="360000"/>
    <xdr:pic>
      <xdr:nvPicPr>
        <xdr:cNvPr id="32" name="Picture 3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5275" y="50330100"/>
          <a:ext cx="360000" cy="360000"/>
        </a:xfrm>
        <a:prstGeom prst="rect">
          <a:avLst/>
        </a:prstGeom>
      </xdr:spPr>
    </xdr:pic>
    <xdr:clientData/>
  </xdr:oneCellAnchor>
  <xdr:oneCellAnchor>
    <xdr:from>
      <xdr:col>1</xdr:col>
      <xdr:colOff>28575</xdr:colOff>
      <xdr:row>265</xdr:row>
      <xdr:rowOff>190500</xdr:rowOff>
    </xdr:from>
    <xdr:ext cx="540000" cy="540000"/>
    <xdr:pic>
      <xdr:nvPicPr>
        <xdr:cNvPr id="33" name="Picture 3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7650" y="30594300"/>
          <a:ext cx="540000" cy="540000"/>
        </a:xfrm>
        <a:prstGeom prst="rect">
          <a:avLst/>
        </a:prstGeom>
      </xdr:spPr>
    </xdr:pic>
    <xdr:clientData/>
  </xdr:oneCellAnchor>
  <xdr:oneCellAnchor>
    <xdr:from>
      <xdr:col>1</xdr:col>
      <xdr:colOff>47625</xdr:colOff>
      <xdr:row>274</xdr:row>
      <xdr:rowOff>142875</xdr:rowOff>
    </xdr:from>
    <xdr:ext cx="360000" cy="360000"/>
    <xdr:pic>
      <xdr:nvPicPr>
        <xdr:cNvPr id="34" name="Picture 33"/>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266700" y="32432625"/>
          <a:ext cx="360000" cy="360000"/>
        </a:xfrm>
        <a:prstGeom prst="rect">
          <a:avLst/>
        </a:prstGeom>
      </xdr:spPr>
    </xdr:pic>
    <xdr:clientData/>
  </xdr:oneCellAnchor>
  <xdr:oneCellAnchor>
    <xdr:from>
      <xdr:col>1</xdr:col>
      <xdr:colOff>47625</xdr:colOff>
      <xdr:row>276</xdr:row>
      <xdr:rowOff>142875</xdr:rowOff>
    </xdr:from>
    <xdr:ext cx="360000" cy="360000"/>
    <xdr:pic>
      <xdr:nvPicPr>
        <xdr:cNvPr id="35" name="Picture 3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6700" y="32851725"/>
          <a:ext cx="360000" cy="360000"/>
        </a:xfrm>
        <a:prstGeom prst="rect">
          <a:avLst/>
        </a:prstGeom>
      </xdr:spPr>
    </xdr:pic>
    <xdr:clientData/>
  </xdr:oneCellAnchor>
  <xdr:twoCellAnchor>
    <xdr:from>
      <xdr:col>9</xdr:col>
      <xdr:colOff>180976</xdr:colOff>
      <xdr:row>236</xdr:row>
      <xdr:rowOff>142875</xdr:rowOff>
    </xdr:from>
    <xdr:to>
      <xdr:col>12</xdr:col>
      <xdr:colOff>390526</xdr:colOff>
      <xdr:row>239</xdr:row>
      <xdr:rowOff>114300</xdr:rowOff>
    </xdr:to>
    <xdr:sp macro="" textlink="">
      <xdr:nvSpPr>
        <xdr:cNvPr id="36" name="Rectangle à coins arrondis 2">
          <a:hlinkClick xmlns:r="http://schemas.openxmlformats.org/officeDocument/2006/relationships" r:id="rId19" tooltip="Resources"/>
        </xdr:cNvPr>
        <xdr:cNvSpPr>
          <a:spLocks noChangeArrowheads="1"/>
        </xdr:cNvSpPr>
      </xdr:nvSpPr>
      <xdr:spPr bwMode="auto">
        <a:xfrm>
          <a:off x="10896601" y="52673250"/>
          <a:ext cx="2019300" cy="5715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how to calculate the A coefficient</a:t>
          </a:r>
        </a:p>
      </xdr:txBody>
    </xdr:sp>
    <xdr:clientData/>
  </xdr:twoCellAnchor>
  <xdr:twoCellAnchor>
    <xdr:from>
      <xdr:col>7</xdr:col>
      <xdr:colOff>1295400</xdr:colOff>
      <xdr:row>1</xdr:row>
      <xdr:rowOff>76200</xdr:rowOff>
    </xdr:from>
    <xdr:to>
      <xdr:col>8</xdr:col>
      <xdr:colOff>428625</xdr:colOff>
      <xdr:row>3</xdr:row>
      <xdr:rowOff>47625</xdr:rowOff>
    </xdr:to>
    <xdr:sp macro="" textlink="">
      <xdr:nvSpPr>
        <xdr:cNvPr id="37" name="Up Arrow 36">
          <a:hlinkClick xmlns:r="http://schemas.openxmlformats.org/officeDocument/2006/relationships" r:id="rId20" tooltip="Back to top"/>
        </xdr:cNvPr>
        <xdr:cNvSpPr/>
      </xdr:nvSpPr>
      <xdr:spPr>
        <a:xfrm>
          <a:off x="9401175" y="419100"/>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1</xdr:col>
      <xdr:colOff>47624</xdr:colOff>
      <xdr:row>214</xdr:row>
      <xdr:rowOff>142875</xdr:rowOff>
    </xdr:from>
    <xdr:ext cx="438154" cy="432000"/>
    <xdr:pic>
      <xdr:nvPicPr>
        <xdr:cNvPr id="38" name="Picture 37"/>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266699" y="47948850"/>
          <a:ext cx="438154" cy="4320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xdr:from>
      <xdr:col>5</xdr:col>
      <xdr:colOff>476250</xdr:colOff>
      <xdr:row>1</xdr:row>
      <xdr:rowOff>142875</xdr:rowOff>
    </xdr:from>
    <xdr:to>
      <xdr:col>6</xdr:col>
      <xdr:colOff>839925</xdr:colOff>
      <xdr:row>3</xdr:row>
      <xdr:rowOff>49875</xdr:rowOff>
    </xdr:to>
    <xdr:sp macro="" textlink="">
      <xdr:nvSpPr>
        <xdr:cNvPr id="5" name="Rectangle à coins arrondis 2">
          <a:hlinkClick xmlns:r="http://schemas.openxmlformats.org/officeDocument/2006/relationships" r:id="rId1" tooltip="Strategy A"/>
        </xdr:cNvPr>
        <xdr:cNvSpPr>
          <a:spLocks noChangeArrowheads="1"/>
        </xdr:cNvSpPr>
      </xdr:nvSpPr>
      <xdr:spPr bwMode="auto">
        <a:xfrm>
          <a:off x="5438775" y="466725"/>
          <a:ext cx="13923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6</xdr:col>
      <xdr:colOff>1162049</xdr:colOff>
      <xdr:row>1</xdr:row>
      <xdr:rowOff>152400</xdr:rowOff>
    </xdr:from>
    <xdr:to>
      <xdr:col>8</xdr:col>
      <xdr:colOff>173174</xdr:colOff>
      <xdr:row>3</xdr:row>
      <xdr:rowOff>59400</xdr:rowOff>
    </xdr:to>
    <xdr:sp macro="" textlink="">
      <xdr:nvSpPr>
        <xdr:cNvPr id="6" name="Rectangle à coins arrondis 2">
          <a:hlinkClick xmlns:r="http://schemas.openxmlformats.org/officeDocument/2006/relationships" r:id="rId2" tooltip="Strategy B"/>
        </xdr:cNvPr>
        <xdr:cNvSpPr>
          <a:spLocks noChangeArrowheads="1"/>
        </xdr:cNvSpPr>
      </xdr:nvSpPr>
      <xdr:spPr bwMode="auto">
        <a:xfrm>
          <a:off x="7153274" y="476250"/>
          <a:ext cx="1354275"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0</xdr:col>
      <xdr:colOff>209550</xdr:colOff>
      <xdr:row>1</xdr:row>
      <xdr:rowOff>114301</xdr:rowOff>
    </xdr:from>
    <xdr:to>
      <xdr:col>2</xdr:col>
      <xdr:colOff>760800</xdr:colOff>
      <xdr:row>3</xdr:row>
      <xdr:rowOff>57301</xdr:rowOff>
    </xdr:to>
    <xdr:sp macro="" textlink="">
      <xdr:nvSpPr>
        <xdr:cNvPr id="8" name="Rectangle à coins arrondis 2">
          <a:hlinkClick xmlns:r="http://schemas.openxmlformats.org/officeDocument/2006/relationships" r:id="rId3" tooltip="Back to Energy"/>
        </xdr:cNvPr>
        <xdr:cNvSpPr>
          <a:spLocks noChangeArrowheads="1"/>
        </xdr:cNvSpPr>
      </xdr:nvSpPr>
      <xdr:spPr bwMode="auto">
        <a:xfrm>
          <a:off x="209550" y="438151"/>
          <a:ext cx="1989525"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3</xdr:col>
      <xdr:colOff>9525</xdr:colOff>
      <xdr:row>1</xdr:row>
      <xdr:rowOff>114300</xdr:rowOff>
    </xdr:from>
    <xdr:to>
      <xdr:col>4</xdr:col>
      <xdr:colOff>694125</xdr:colOff>
      <xdr:row>3</xdr:row>
      <xdr:rowOff>57300</xdr:rowOff>
    </xdr:to>
    <xdr:sp macro="" textlink="">
      <xdr:nvSpPr>
        <xdr:cNvPr id="9" name="Rectangle à coins arrondis 2">
          <a:hlinkClick xmlns:r="http://schemas.openxmlformats.org/officeDocument/2006/relationships" r:id="rId4" tooltip="See the Scorecard"/>
        </xdr:cNvPr>
        <xdr:cNvSpPr>
          <a:spLocks noChangeArrowheads="1"/>
        </xdr:cNvSpPr>
      </xdr:nvSpPr>
      <xdr:spPr bwMode="auto">
        <a:xfrm>
          <a:off x="2628900" y="43815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mc:AlternateContent xmlns:mc="http://schemas.openxmlformats.org/markup-compatibility/2006">
    <mc:Choice xmlns:a14="http://schemas.microsoft.com/office/drawing/2010/main" Requires="a14">
      <xdr:twoCellAnchor editAs="oneCell">
        <xdr:from>
          <xdr:col>5</xdr:col>
          <xdr:colOff>38100</xdr:colOff>
          <xdr:row>68</xdr:row>
          <xdr:rowOff>28575</xdr:rowOff>
        </xdr:from>
        <xdr:to>
          <xdr:col>5</xdr:col>
          <xdr:colOff>409575</xdr:colOff>
          <xdr:row>68</xdr:row>
          <xdr:rowOff>209550</xdr:rowOff>
        </xdr:to>
        <xdr:sp macro="" textlink="">
          <xdr:nvSpPr>
            <xdr:cNvPr id="96266" name="Check Box 10" hidden="1">
              <a:extLst>
                <a:ext uri="{63B3BB69-23CF-44E3-9099-C40C66FF867C}">
                  <a14:compatExt spid="_x0000_s9626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619125</xdr:colOff>
          <xdr:row>68</xdr:row>
          <xdr:rowOff>38100</xdr:rowOff>
        </xdr:from>
        <xdr:to>
          <xdr:col>5</xdr:col>
          <xdr:colOff>990600</xdr:colOff>
          <xdr:row>68</xdr:row>
          <xdr:rowOff>219075</xdr:rowOff>
        </xdr:to>
        <xdr:sp macro="" textlink="">
          <xdr:nvSpPr>
            <xdr:cNvPr id="96267" name="Check Box 11" hidden="1">
              <a:extLst>
                <a:ext uri="{63B3BB69-23CF-44E3-9099-C40C66FF867C}">
                  <a14:compatExt spid="_x0000_s9626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69</xdr:row>
          <xdr:rowOff>28575</xdr:rowOff>
        </xdr:from>
        <xdr:to>
          <xdr:col>5</xdr:col>
          <xdr:colOff>409575</xdr:colOff>
          <xdr:row>69</xdr:row>
          <xdr:rowOff>209550</xdr:rowOff>
        </xdr:to>
        <xdr:sp macro="" textlink="">
          <xdr:nvSpPr>
            <xdr:cNvPr id="96268" name="Check Box 12" hidden="1">
              <a:extLst>
                <a:ext uri="{63B3BB69-23CF-44E3-9099-C40C66FF867C}">
                  <a14:compatExt spid="_x0000_s9626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619125</xdr:colOff>
          <xdr:row>69</xdr:row>
          <xdr:rowOff>28575</xdr:rowOff>
        </xdr:from>
        <xdr:to>
          <xdr:col>5</xdr:col>
          <xdr:colOff>990600</xdr:colOff>
          <xdr:row>69</xdr:row>
          <xdr:rowOff>209550</xdr:rowOff>
        </xdr:to>
        <xdr:sp macro="" textlink="">
          <xdr:nvSpPr>
            <xdr:cNvPr id="96269" name="Check Box 13" hidden="1">
              <a:extLst>
                <a:ext uri="{63B3BB69-23CF-44E3-9099-C40C66FF867C}">
                  <a14:compatExt spid="_x0000_s9626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xdr:twoCellAnchor>
    <xdr:from>
      <xdr:col>4</xdr:col>
      <xdr:colOff>1047750</xdr:colOff>
      <xdr:row>38</xdr:row>
      <xdr:rowOff>152400</xdr:rowOff>
    </xdr:from>
    <xdr:to>
      <xdr:col>6</xdr:col>
      <xdr:colOff>572250</xdr:colOff>
      <xdr:row>40</xdr:row>
      <xdr:rowOff>59400</xdr:rowOff>
    </xdr:to>
    <xdr:sp macro="" textlink="">
      <xdr:nvSpPr>
        <xdr:cNvPr id="28" name="Rectangle à coins arrondis 2">
          <a:hlinkClick xmlns:r="http://schemas.openxmlformats.org/officeDocument/2006/relationships" r:id="rId5" tooltip="Prescriptive Path"/>
        </xdr:cNvPr>
        <xdr:cNvSpPr>
          <a:spLocks noChangeArrowheads="1"/>
        </xdr:cNvSpPr>
      </xdr:nvSpPr>
      <xdr:spPr bwMode="auto">
        <a:xfrm>
          <a:off x="4962525" y="6858000"/>
          <a:ext cx="1620000" cy="28800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6</xdr:col>
      <xdr:colOff>904874</xdr:colOff>
      <xdr:row>38</xdr:row>
      <xdr:rowOff>152400</xdr:rowOff>
    </xdr:from>
    <xdr:to>
      <xdr:col>8</xdr:col>
      <xdr:colOff>181724</xdr:colOff>
      <xdr:row>40</xdr:row>
      <xdr:rowOff>59400</xdr:rowOff>
    </xdr:to>
    <xdr:sp macro="" textlink="">
      <xdr:nvSpPr>
        <xdr:cNvPr id="29" name="Rectangle à coins arrondis 2">
          <a:hlinkClick xmlns:r="http://schemas.openxmlformats.org/officeDocument/2006/relationships" r:id="rId6" tooltip="Performance Path"/>
        </xdr:cNvPr>
        <xdr:cNvSpPr>
          <a:spLocks noChangeArrowheads="1"/>
        </xdr:cNvSpPr>
      </xdr:nvSpPr>
      <xdr:spPr bwMode="auto">
        <a:xfrm>
          <a:off x="6915149" y="6858000"/>
          <a:ext cx="1620000" cy="28800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4</xdr:col>
      <xdr:colOff>495300</xdr:colOff>
      <xdr:row>38</xdr:row>
      <xdr:rowOff>152400</xdr:rowOff>
    </xdr:from>
    <xdr:to>
      <xdr:col>4</xdr:col>
      <xdr:colOff>819300</xdr:colOff>
      <xdr:row>40</xdr:row>
      <xdr:rowOff>59400</xdr:rowOff>
    </xdr:to>
    <xdr:sp macro="" textlink="">
      <xdr:nvSpPr>
        <xdr:cNvPr id="30" name="Flèche droite 7"/>
        <xdr:cNvSpPr/>
      </xdr:nvSpPr>
      <xdr:spPr>
        <a:xfrm>
          <a:off x="4410075" y="6858000"/>
          <a:ext cx="324000" cy="288000"/>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10</xdr:col>
      <xdr:colOff>57900</xdr:colOff>
      <xdr:row>122</xdr:row>
      <xdr:rowOff>152402</xdr:rowOff>
    </xdr:from>
    <xdr:to>
      <xdr:col>13</xdr:col>
      <xdr:colOff>657225</xdr:colOff>
      <xdr:row>149</xdr:row>
      <xdr:rowOff>127596</xdr:rowOff>
    </xdr:to>
    <xdr:pic>
      <xdr:nvPicPr>
        <xdr:cNvPr id="3" name="Picture 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478250" y="25707977"/>
          <a:ext cx="2952000" cy="5490169"/>
        </a:xfrm>
        <a:prstGeom prst="rect">
          <a:avLst/>
        </a:prstGeom>
      </xdr:spPr>
    </xdr:pic>
    <xdr:clientData/>
  </xdr:twoCellAnchor>
  <xdr:twoCellAnchor>
    <xdr:from>
      <xdr:col>4</xdr:col>
      <xdr:colOff>847725</xdr:colOff>
      <xdr:row>169</xdr:row>
      <xdr:rowOff>152400</xdr:rowOff>
    </xdr:from>
    <xdr:to>
      <xdr:col>6</xdr:col>
      <xdr:colOff>372225</xdr:colOff>
      <xdr:row>171</xdr:row>
      <xdr:rowOff>21300</xdr:rowOff>
    </xdr:to>
    <xdr:sp macro="" textlink="">
      <xdr:nvSpPr>
        <xdr:cNvPr id="34" name="Rectangle à coins arrondis 2">
          <a:hlinkClick xmlns:r="http://schemas.openxmlformats.org/officeDocument/2006/relationships" r:id="rId8" tooltip="Prescriptive Path"/>
        </xdr:cNvPr>
        <xdr:cNvSpPr>
          <a:spLocks noChangeArrowheads="1"/>
        </xdr:cNvSpPr>
      </xdr:nvSpPr>
      <xdr:spPr bwMode="auto">
        <a:xfrm>
          <a:off x="4762500" y="34585275"/>
          <a:ext cx="1620000" cy="28800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6</xdr:col>
      <xdr:colOff>704849</xdr:colOff>
      <xdr:row>169</xdr:row>
      <xdr:rowOff>152400</xdr:rowOff>
    </xdr:from>
    <xdr:to>
      <xdr:col>7</xdr:col>
      <xdr:colOff>1105649</xdr:colOff>
      <xdr:row>171</xdr:row>
      <xdr:rowOff>21300</xdr:rowOff>
    </xdr:to>
    <xdr:sp macro="" textlink="">
      <xdr:nvSpPr>
        <xdr:cNvPr id="35" name="Rectangle à coins arrondis 2">
          <a:hlinkClick xmlns:r="http://schemas.openxmlformats.org/officeDocument/2006/relationships" r:id="rId9" tooltip="Performance Path"/>
        </xdr:cNvPr>
        <xdr:cNvSpPr>
          <a:spLocks noChangeArrowheads="1"/>
        </xdr:cNvSpPr>
      </xdr:nvSpPr>
      <xdr:spPr bwMode="auto">
        <a:xfrm>
          <a:off x="6715124" y="34585275"/>
          <a:ext cx="1620000" cy="28800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4</xdr:col>
      <xdr:colOff>295275</xdr:colOff>
      <xdr:row>169</xdr:row>
      <xdr:rowOff>171450</xdr:rowOff>
    </xdr:from>
    <xdr:to>
      <xdr:col>4</xdr:col>
      <xdr:colOff>619275</xdr:colOff>
      <xdr:row>171</xdr:row>
      <xdr:rowOff>40350</xdr:rowOff>
    </xdr:to>
    <xdr:sp macro="" textlink="">
      <xdr:nvSpPr>
        <xdr:cNvPr id="36" name="Flèche droite 7"/>
        <xdr:cNvSpPr/>
      </xdr:nvSpPr>
      <xdr:spPr>
        <a:xfrm>
          <a:off x="4210050" y="34604325"/>
          <a:ext cx="324000" cy="288000"/>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mc:AlternateContent xmlns:mc="http://schemas.openxmlformats.org/markup-compatibility/2006">
    <mc:Choice xmlns:a14="http://schemas.microsoft.com/office/drawing/2010/main" Requires="a14">
      <xdr:twoCellAnchor editAs="oneCell">
        <xdr:from>
          <xdr:col>5</xdr:col>
          <xdr:colOff>47625</xdr:colOff>
          <xdr:row>53</xdr:row>
          <xdr:rowOff>152400</xdr:rowOff>
        </xdr:from>
        <xdr:to>
          <xdr:col>5</xdr:col>
          <xdr:colOff>419100</xdr:colOff>
          <xdr:row>55</xdr:row>
          <xdr:rowOff>28575</xdr:rowOff>
        </xdr:to>
        <xdr:sp macro="" textlink="">
          <xdr:nvSpPr>
            <xdr:cNvPr id="96291" name="Check Box 35" hidden="1">
              <a:extLst>
                <a:ext uri="{63B3BB69-23CF-44E3-9099-C40C66FF867C}">
                  <a14:compatExt spid="_x0000_s9629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53</xdr:row>
          <xdr:rowOff>152400</xdr:rowOff>
        </xdr:from>
        <xdr:to>
          <xdr:col>5</xdr:col>
          <xdr:colOff>1000125</xdr:colOff>
          <xdr:row>55</xdr:row>
          <xdr:rowOff>28575</xdr:rowOff>
        </xdr:to>
        <xdr:sp macro="" textlink="">
          <xdr:nvSpPr>
            <xdr:cNvPr id="96292" name="Check Box 36" hidden="1">
              <a:extLst>
                <a:ext uri="{63B3BB69-23CF-44E3-9099-C40C66FF867C}">
                  <a14:compatExt spid="_x0000_s9629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55</xdr:row>
          <xdr:rowOff>152400</xdr:rowOff>
        </xdr:from>
        <xdr:to>
          <xdr:col>5</xdr:col>
          <xdr:colOff>419100</xdr:colOff>
          <xdr:row>57</xdr:row>
          <xdr:rowOff>47625</xdr:rowOff>
        </xdr:to>
        <xdr:sp macro="" textlink="">
          <xdr:nvSpPr>
            <xdr:cNvPr id="96293" name="Check Box 37" hidden="1">
              <a:extLst>
                <a:ext uri="{63B3BB69-23CF-44E3-9099-C40C66FF867C}">
                  <a14:compatExt spid="_x0000_s9629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55</xdr:row>
          <xdr:rowOff>152400</xdr:rowOff>
        </xdr:from>
        <xdr:to>
          <xdr:col>5</xdr:col>
          <xdr:colOff>1000125</xdr:colOff>
          <xdr:row>57</xdr:row>
          <xdr:rowOff>47625</xdr:rowOff>
        </xdr:to>
        <xdr:sp macro="" textlink="">
          <xdr:nvSpPr>
            <xdr:cNvPr id="96294" name="Check Box 38" hidden="1">
              <a:extLst>
                <a:ext uri="{63B3BB69-23CF-44E3-9099-C40C66FF867C}">
                  <a14:compatExt spid="_x0000_s9629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56</xdr:row>
          <xdr:rowOff>180975</xdr:rowOff>
        </xdr:from>
        <xdr:to>
          <xdr:col>5</xdr:col>
          <xdr:colOff>419100</xdr:colOff>
          <xdr:row>58</xdr:row>
          <xdr:rowOff>38100</xdr:rowOff>
        </xdr:to>
        <xdr:sp macro="" textlink="">
          <xdr:nvSpPr>
            <xdr:cNvPr id="96295" name="Check Box 39" hidden="1">
              <a:extLst>
                <a:ext uri="{63B3BB69-23CF-44E3-9099-C40C66FF867C}">
                  <a14:compatExt spid="_x0000_s9629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56</xdr:row>
          <xdr:rowOff>180975</xdr:rowOff>
        </xdr:from>
        <xdr:to>
          <xdr:col>5</xdr:col>
          <xdr:colOff>1000125</xdr:colOff>
          <xdr:row>58</xdr:row>
          <xdr:rowOff>38100</xdr:rowOff>
        </xdr:to>
        <xdr:sp macro="" textlink="">
          <xdr:nvSpPr>
            <xdr:cNvPr id="96296" name="Check Box 40" hidden="1">
              <a:extLst>
                <a:ext uri="{63B3BB69-23CF-44E3-9099-C40C66FF867C}">
                  <a14:compatExt spid="_x0000_s9629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53</xdr:row>
          <xdr:rowOff>142875</xdr:rowOff>
        </xdr:from>
        <xdr:to>
          <xdr:col>11</xdr:col>
          <xdr:colOff>542925</xdr:colOff>
          <xdr:row>55</xdr:row>
          <xdr:rowOff>19050</xdr:rowOff>
        </xdr:to>
        <xdr:sp macro="" textlink="">
          <xdr:nvSpPr>
            <xdr:cNvPr id="96297" name="Check Box 41" hidden="1">
              <a:extLst>
                <a:ext uri="{63B3BB69-23CF-44E3-9099-C40C66FF867C}">
                  <a14:compatExt spid="_x0000_s9629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53</xdr:row>
          <xdr:rowOff>142875</xdr:rowOff>
        </xdr:from>
        <xdr:to>
          <xdr:col>12</xdr:col>
          <xdr:colOff>438150</xdr:colOff>
          <xdr:row>55</xdr:row>
          <xdr:rowOff>19050</xdr:rowOff>
        </xdr:to>
        <xdr:sp macro="" textlink="">
          <xdr:nvSpPr>
            <xdr:cNvPr id="96298" name="Check Box 42" hidden="1">
              <a:extLst>
                <a:ext uri="{63B3BB69-23CF-44E3-9099-C40C66FF867C}">
                  <a14:compatExt spid="_x0000_s9629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55</xdr:row>
          <xdr:rowOff>152400</xdr:rowOff>
        </xdr:from>
        <xdr:to>
          <xdr:col>11</xdr:col>
          <xdr:colOff>552450</xdr:colOff>
          <xdr:row>57</xdr:row>
          <xdr:rowOff>47625</xdr:rowOff>
        </xdr:to>
        <xdr:sp macro="" textlink="">
          <xdr:nvSpPr>
            <xdr:cNvPr id="96299" name="Check Box 43" hidden="1">
              <a:extLst>
                <a:ext uri="{63B3BB69-23CF-44E3-9099-C40C66FF867C}">
                  <a14:compatExt spid="_x0000_s9629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55</xdr:row>
          <xdr:rowOff>152400</xdr:rowOff>
        </xdr:from>
        <xdr:to>
          <xdr:col>12</xdr:col>
          <xdr:colOff>447675</xdr:colOff>
          <xdr:row>57</xdr:row>
          <xdr:rowOff>47625</xdr:rowOff>
        </xdr:to>
        <xdr:sp macro="" textlink="">
          <xdr:nvSpPr>
            <xdr:cNvPr id="96300" name="Check Box 44" hidden="1">
              <a:extLst>
                <a:ext uri="{63B3BB69-23CF-44E3-9099-C40C66FF867C}">
                  <a14:compatExt spid="_x0000_s9630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56</xdr:row>
          <xdr:rowOff>180975</xdr:rowOff>
        </xdr:from>
        <xdr:to>
          <xdr:col>11</xdr:col>
          <xdr:colOff>552450</xdr:colOff>
          <xdr:row>58</xdr:row>
          <xdr:rowOff>38100</xdr:rowOff>
        </xdr:to>
        <xdr:sp macro="" textlink="">
          <xdr:nvSpPr>
            <xdr:cNvPr id="96301" name="Check Box 45" hidden="1">
              <a:extLst>
                <a:ext uri="{63B3BB69-23CF-44E3-9099-C40C66FF867C}">
                  <a14:compatExt spid="_x0000_s9630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56</xdr:row>
          <xdr:rowOff>180975</xdr:rowOff>
        </xdr:from>
        <xdr:to>
          <xdr:col>12</xdr:col>
          <xdr:colOff>447675</xdr:colOff>
          <xdr:row>58</xdr:row>
          <xdr:rowOff>38100</xdr:rowOff>
        </xdr:to>
        <xdr:sp macro="" textlink="">
          <xdr:nvSpPr>
            <xdr:cNvPr id="96302" name="Check Box 46" hidden="1">
              <a:extLst>
                <a:ext uri="{63B3BB69-23CF-44E3-9099-C40C66FF867C}">
                  <a14:compatExt spid="_x0000_s9630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57</xdr:row>
          <xdr:rowOff>180975</xdr:rowOff>
        </xdr:from>
        <xdr:to>
          <xdr:col>11</xdr:col>
          <xdr:colOff>552450</xdr:colOff>
          <xdr:row>59</xdr:row>
          <xdr:rowOff>38100</xdr:rowOff>
        </xdr:to>
        <xdr:sp macro="" textlink="">
          <xdr:nvSpPr>
            <xdr:cNvPr id="96303" name="Check Box 47" hidden="1">
              <a:extLst>
                <a:ext uri="{63B3BB69-23CF-44E3-9099-C40C66FF867C}">
                  <a14:compatExt spid="_x0000_s9630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57</xdr:row>
          <xdr:rowOff>180975</xdr:rowOff>
        </xdr:from>
        <xdr:to>
          <xdr:col>12</xdr:col>
          <xdr:colOff>447675</xdr:colOff>
          <xdr:row>59</xdr:row>
          <xdr:rowOff>38100</xdr:rowOff>
        </xdr:to>
        <xdr:sp macro="" textlink="">
          <xdr:nvSpPr>
            <xdr:cNvPr id="96304" name="Check Box 48" hidden="1">
              <a:extLst>
                <a:ext uri="{63B3BB69-23CF-44E3-9099-C40C66FF867C}">
                  <a14:compatExt spid="_x0000_s9630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112</xdr:row>
          <xdr:rowOff>152400</xdr:rowOff>
        </xdr:from>
        <xdr:to>
          <xdr:col>5</xdr:col>
          <xdr:colOff>419100</xdr:colOff>
          <xdr:row>114</xdr:row>
          <xdr:rowOff>28575</xdr:rowOff>
        </xdr:to>
        <xdr:sp macro="" textlink="">
          <xdr:nvSpPr>
            <xdr:cNvPr id="96305" name="Check Box 49" hidden="1">
              <a:extLst>
                <a:ext uri="{63B3BB69-23CF-44E3-9099-C40C66FF867C}">
                  <a14:compatExt spid="_x0000_s9630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112</xdr:row>
          <xdr:rowOff>152400</xdr:rowOff>
        </xdr:from>
        <xdr:to>
          <xdr:col>5</xdr:col>
          <xdr:colOff>1000125</xdr:colOff>
          <xdr:row>114</xdr:row>
          <xdr:rowOff>28575</xdr:rowOff>
        </xdr:to>
        <xdr:sp macro="" textlink="">
          <xdr:nvSpPr>
            <xdr:cNvPr id="96306" name="Check Box 50" hidden="1">
              <a:extLst>
                <a:ext uri="{63B3BB69-23CF-44E3-9099-C40C66FF867C}">
                  <a14:compatExt spid="_x0000_s9630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114</xdr:row>
          <xdr:rowOff>152400</xdr:rowOff>
        </xdr:from>
        <xdr:to>
          <xdr:col>5</xdr:col>
          <xdr:colOff>419100</xdr:colOff>
          <xdr:row>116</xdr:row>
          <xdr:rowOff>47625</xdr:rowOff>
        </xdr:to>
        <xdr:sp macro="" textlink="">
          <xdr:nvSpPr>
            <xdr:cNvPr id="96307" name="Check Box 51" hidden="1">
              <a:extLst>
                <a:ext uri="{63B3BB69-23CF-44E3-9099-C40C66FF867C}">
                  <a14:compatExt spid="_x0000_s9630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114</xdr:row>
          <xdr:rowOff>152400</xdr:rowOff>
        </xdr:from>
        <xdr:to>
          <xdr:col>5</xdr:col>
          <xdr:colOff>1000125</xdr:colOff>
          <xdr:row>116</xdr:row>
          <xdr:rowOff>47625</xdr:rowOff>
        </xdr:to>
        <xdr:sp macro="" textlink="">
          <xdr:nvSpPr>
            <xdr:cNvPr id="96308" name="Check Box 52" hidden="1">
              <a:extLst>
                <a:ext uri="{63B3BB69-23CF-44E3-9099-C40C66FF867C}">
                  <a14:compatExt spid="_x0000_s9630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115</xdr:row>
          <xdr:rowOff>180975</xdr:rowOff>
        </xdr:from>
        <xdr:to>
          <xdr:col>5</xdr:col>
          <xdr:colOff>419100</xdr:colOff>
          <xdr:row>117</xdr:row>
          <xdr:rowOff>38100</xdr:rowOff>
        </xdr:to>
        <xdr:sp macro="" textlink="">
          <xdr:nvSpPr>
            <xdr:cNvPr id="96309" name="Check Box 53" hidden="1">
              <a:extLst>
                <a:ext uri="{63B3BB69-23CF-44E3-9099-C40C66FF867C}">
                  <a14:compatExt spid="_x0000_s9630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115</xdr:row>
          <xdr:rowOff>180975</xdr:rowOff>
        </xdr:from>
        <xdr:to>
          <xdr:col>5</xdr:col>
          <xdr:colOff>1000125</xdr:colOff>
          <xdr:row>117</xdr:row>
          <xdr:rowOff>38100</xdr:rowOff>
        </xdr:to>
        <xdr:sp macro="" textlink="">
          <xdr:nvSpPr>
            <xdr:cNvPr id="96310" name="Check Box 54" hidden="1">
              <a:extLst>
                <a:ext uri="{63B3BB69-23CF-44E3-9099-C40C66FF867C}">
                  <a14:compatExt spid="_x0000_s9631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112</xdr:row>
          <xdr:rowOff>142875</xdr:rowOff>
        </xdr:from>
        <xdr:to>
          <xdr:col>11</xdr:col>
          <xdr:colOff>542925</xdr:colOff>
          <xdr:row>114</xdr:row>
          <xdr:rowOff>19050</xdr:rowOff>
        </xdr:to>
        <xdr:sp macro="" textlink="">
          <xdr:nvSpPr>
            <xdr:cNvPr id="96311" name="Check Box 55" hidden="1">
              <a:extLst>
                <a:ext uri="{63B3BB69-23CF-44E3-9099-C40C66FF867C}">
                  <a14:compatExt spid="_x0000_s9631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112</xdr:row>
          <xdr:rowOff>142875</xdr:rowOff>
        </xdr:from>
        <xdr:to>
          <xdr:col>12</xdr:col>
          <xdr:colOff>438150</xdr:colOff>
          <xdr:row>114</xdr:row>
          <xdr:rowOff>19050</xdr:rowOff>
        </xdr:to>
        <xdr:sp macro="" textlink="">
          <xdr:nvSpPr>
            <xdr:cNvPr id="96312" name="Check Box 56" hidden="1">
              <a:extLst>
                <a:ext uri="{63B3BB69-23CF-44E3-9099-C40C66FF867C}">
                  <a14:compatExt spid="_x0000_s96312"/>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114</xdr:row>
          <xdr:rowOff>152400</xdr:rowOff>
        </xdr:from>
        <xdr:to>
          <xdr:col>11</xdr:col>
          <xdr:colOff>552450</xdr:colOff>
          <xdr:row>116</xdr:row>
          <xdr:rowOff>47625</xdr:rowOff>
        </xdr:to>
        <xdr:sp macro="" textlink="">
          <xdr:nvSpPr>
            <xdr:cNvPr id="96313" name="Check Box 57" hidden="1">
              <a:extLst>
                <a:ext uri="{63B3BB69-23CF-44E3-9099-C40C66FF867C}">
                  <a14:compatExt spid="_x0000_s9631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114</xdr:row>
          <xdr:rowOff>152400</xdr:rowOff>
        </xdr:from>
        <xdr:to>
          <xdr:col>12</xdr:col>
          <xdr:colOff>447675</xdr:colOff>
          <xdr:row>116</xdr:row>
          <xdr:rowOff>47625</xdr:rowOff>
        </xdr:to>
        <xdr:sp macro="" textlink="">
          <xdr:nvSpPr>
            <xdr:cNvPr id="96314" name="Check Box 58" hidden="1">
              <a:extLst>
                <a:ext uri="{63B3BB69-23CF-44E3-9099-C40C66FF867C}">
                  <a14:compatExt spid="_x0000_s9631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115</xdr:row>
          <xdr:rowOff>180975</xdr:rowOff>
        </xdr:from>
        <xdr:to>
          <xdr:col>11</xdr:col>
          <xdr:colOff>552450</xdr:colOff>
          <xdr:row>117</xdr:row>
          <xdr:rowOff>38100</xdr:rowOff>
        </xdr:to>
        <xdr:sp macro="" textlink="">
          <xdr:nvSpPr>
            <xdr:cNvPr id="96315" name="Check Box 59" hidden="1">
              <a:extLst>
                <a:ext uri="{63B3BB69-23CF-44E3-9099-C40C66FF867C}">
                  <a14:compatExt spid="_x0000_s963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115</xdr:row>
          <xdr:rowOff>180975</xdr:rowOff>
        </xdr:from>
        <xdr:to>
          <xdr:col>12</xdr:col>
          <xdr:colOff>447675</xdr:colOff>
          <xdr:row>117</xdr:row>
          <xdr:rowOff>38100</xdr:rowOff>
        </xdr:to>
        <xdr:sp macro="" textlink="">
          <xdr:nvSpPr>
            <xdr:cNvPr id="96316" name="Check Box 60" hidden="1">
              <a:extLst>
                <a:ext uri="{63B3BB69-23CF-44E3-9099-C40C66FF867C}">
                  <a14:compatExt spid="_x0000_s9631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116</xdr:row>
          <xdr:rowOff>180975</xdr:rowOff>
        </xdr:from>
        <xdr:to>
          <xdr:col>11</xdr:col>
          <xdr:colOff>552450</xdr:colOff>
          <xdr:row>118</xdr:row>
          <xdr:rowOff>38100</xdr:rowOff>
        </xdr:to>
        <xdr:sp macro="" textlink="">
          <xdr:nvSpPr>
            <xdr:cNvPr id="96317" name="Check Box 61" hidden="1">
              <a:extLst>
                <a:ext uri="{63B3BB69-23CF-44E3-9099-C40C66FF867C}">
                  <a14:compatExt spid="_x0000_s9631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116</xdr:row>
          <xdr:rowOff>180975</xdr:rowOff>
        </xdr:from>
        <xdr:to>
          <xdr:col>12</xdr:col>
          <xdr:colOff>447675</xdr:colOff>
          <xdr:row>118</xdr:row>
          <xdr:rowOff>38100</xdr:rowOff>
        </xdr:to>
        <xdr:sp macro="" textlink="">
          <xdr:nvSpPr>
            <xdr:cNvPr id="96318" name="Check Box 62" hidden="1">
              <a:extLst>
                <a:ext uri="{63B3BB69-23CF-44E3-9099-C40C66FF867C}">
                  <a14:compatExt spid="_x0000_s9631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a:t>
              </a:r>
            </a:p>
          </xdr:txBody>
        </xdr:sp>
        <xdr:clientData/>
      </xdr:twoCellAnchor>
    </mc:Choice>
    <mc:Fallback/>
  </mc:AlternateContent>
  <xdr:twoCellAnchor editAs="oneCell">
    <xdr:from>
      <xdr:col>1</xdr:col>
      <xdr:colOff>38100</xdr:colOff>
      <xdr:row>50</xdr:row>
      <xdr:rowOff>104775</xdr:rowOff>
    </xdr:from>
    <xdr:to>
      <xdr:col>1</xdr:col>
      <xdr:colOff>398100</xdr:colOff>
      <xdr:row>52</xdr:row>
      <xdr:rowOff>83775</xdr:rowOff>
    </xdr:to>
    <xdr:pic>
      <xdr:nvPicPr>
        <xdr:cNvPr id="45" name="Picture 4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10553700"/>
          <a:ext cx="360000" cy="360000"/>
        </a:xfrm>
        <a:prstGeom prst="rect">
          <a:avLst/>
        </a:prstGeom>
      </xdr:spPr>
    </xdr:pic>
    <xdr:clientData/>
  </xdr:twoCellAnchor>
  <xdr:twoCellAnchor editAs="oneCell">
    <xdr:from>
      <xdr:col>1</xdr:col>
      <xdr:colOff>47625</xdr:colOff>
      <xdr:row>47</xdr:row>
      <xdr:rowOff>171450</xdr:rowOff>
    </xdr:from>
    <xdr:to>
      <xdr:col>1</xdr:col>
      <xdr:colOff>515625</xdr:colOff>
      <xdr:row>49</xdr:row>
      <xdr:rowOff>258450</xdr:rowOff>
    </xdr:to>
    <xdr:pic>
      <xdr:nvPicPr>
        <xdr:cNvPr id="46" name="Picture 4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5275" y="9896475"/>
          <a:ext cx="468000" cy="468000"/>
        </a:xfrm>
        <a:prstGeom prst="rect">
          <a:avLst/>
        </a:prstGeom>
      </xdr:spPr>
    </xdr:pic>
    <xdr:clientData/>
  </xdr:twoCellAnchor>
  <xdr:twoCellAnchor editAs="oneCell">
    <xdr:from>
      <xdr:col>1</xdr:col>
      <xdr:colOff>38100</xdr:colOff>
      <xdr:row>45</xdr:row>
      <xdr:rowOff>0</xdr:rowOff>
    </xdr:from>
    <xdr:to>
      <xdr:col>1</xdr:col>
      <xdr:colOff>398100</xdr:colOff>
      <xdr:row>46</xdr:row>
      <xdr:rowOff>17100</xdr:rowOff>
    </xdr:to>
    <xdr:pic>
      <xdr:nvPicPr>
        <xdr:cNvPr id="47" name="Picture 4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6700" y="10401300"/>
          <a:ext cx="360000" cy="360000"/>
        </a:xfrm>
        <a:prstGeom prst="rect">
          <a:avLst/>
        </a:prstGeom>
      </xdr:spPr>
    </xdr:pic>
    <xdr:clientData/>
  </xdr:twoCellAnchor>
  <xdr:twoCellAnchor editAs="oneCell">
    <xdr:from>
      <xdr:col>1</xdr:col>
      <xdr:colOff>28575</xdr:colOff>
      <xdr:row>63</xdr:row>
      <xdr:rowOff>180975</xdr:rowOff>
    </xdr:from>
    <xdr:to>
      <xdr:col>1</xdr:col>
      <xdr:colOff>388575</xdr:colOff>
      <xdr:row>65</xdr:row>
      <xdr:rowOff>7575</xdr:rowOff>
    </xdr:to>
    <xdr:pic>
      <xdr:nvPicPr>
        <xdr:cNvPr id="48" name="Picture 4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57175" y="14458950"/>
          <a:ext cx="360000" cy="360000"/>
        </a:xfrm>
        <a:prstGeom prst="rect">
          <a:avLst/>
        </a:prstGeom>
      </xdr:spPr>
    </xdr:pic>
    <xdr:clientData/>
  </xdr:twoCellAnchor>
  <xdr:oneCellAnchor>
    <xdr:from>
      <xdr:col>1</xdr:col>
      <xdr:colOff>38100</xdr:colOff>
      <xdr:row>65</xdr:row>
      <xdr:rowOff>114300</xdr:rowOff>
    </xdr:from>
    <xdr:ext cx="360000" cy="360000"/>
    <xdr:pic>
      <xdr:nvPicPr>
        <xdr:cNvPr id="49" name="Picture 4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13544550"/>
          <a:ext cx="360000" cy="360000"/>
        </a:xfrm>
        <a:prstGeom prst="rect">
          <a:avLst/>
        </a:prstGeom>
      </xdr:spPr>
    </xdr:pic>
    <xdr:clientData/>
  </xdr:oneCellAnchor>
  <xdr:twoCellAnchor editAs="oneCell">
    <xdr:from>
      <xdr:col>1</xdr:col>
      <xdr:colOff>28575</xdr:colOff>
      <xdr:row>70</xdr:row>
      <xdr:rowOff>142875</xdr:rowOff>
    </xdr:from>
    <xdr:to>
      <xdr:col>1</xdr:col>
      <xdr:colOff>388575</xdr:colOff>
      <xdr:row>72</xdr:row>
      <xdr:rowOff>93300</xdr:rowOff>
    </xdr:to>
    <xdr:pic>
      <xdr:nvPicPr>
        <xdr:cNvPr id="50" name="Picture 49"/>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76225" y="14525625"/>
          <a:ext cx="360000" cy="360000"/>
        </a:xfrm>
        <a:prstGeom prst="rect">
          <a:avLst/>
        </a:prstGeom>
      </xdr:spPr>
    </xdr:pic>
    <xdr:clientData/>
  </xdr:twoCellAnchor>
  <xdr:oneCellAnchor>
    <xdr:from>
      <xdr:col>1</xdr:col>
      <xdr:colOff>19050</xdr:colOff>
      <xdr:row>72</xdr:row>
      <xdr:rowOff>161925</xdr:rowOff>
    </xdr:from>
    <xdr:ext cx="360000" cy="360000"/>
    <xdr:pic>
      <xdr:nvPicPr>
        <xdr:cNvPr id="51" name="Picture 5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66700" y="14954250"/>
          <a:ext cx="360000" cy="360000"/>
        </a:xfrm>
        <a:prstGeom prst="rect">
          <a:avLst/>
        </a:prstGeom>
      </xdr:spPr>
    </xdr:pic>
    <xdr:clientData/>
  </xdr:oneCellAnchor>
  <xdr:oneCellAnchor>
    <xdr:from>
      <xdr:col>1</xdr:col>
      <xdr:colOff>38100</xdr:colOff>
      <xdr:row>109</xdr:row>
      <xdr:rowOff>104775</xdr:rowOff>
    </xdr:from>
    <xdr:ext cx="360000" cy="360000"/>
    <xdr:pic>
      <xdr:nvPicPr>
        <xdr:cNvPr id="52" name="Picture 5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10553700"/>
          <a:ext cx="360000" cy="360000"/>
        </a:xfrm>
        <a:prstGeom prst="rect">
          <a:avLst/>
        </a:prstGeom>
      </xdr:spPr>
    </xdr:pic>
    <xdr:clientData/>
  </xdr:oneCellAnchor>
  <xdr:oneCellAnchor>
    <xdr:from>
      <xdr:col>1</xdr:col>
      <xdr:colOff>47625</xdr:colOff>
      <xdr:row>106</xdr:row>
      <xdr:rowOff>171450</xdr:rowOff>
    </xdr:from>
    <xdr:ext cx="468000" cy="468000"/>
    <xdr:pic>
      <xdr:nvPicPr>
        <xdr:cNvPr id="53" name="Picture 5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5275" y="9896475"/>
          <a:ext cx="468000" cy="468000"/>
        </a:xfrm>
        <a:prstGeom prst="rect">
          <a:avLst/>
        </a:prstGeom>
      </xdr:spPr>
    </xdr:pic>
    <xdr:clientData/>
  </xdr:oneCellAnchor>
  <xdr:oneCellAnchor>
    <xdr:from>
      <xdr:col>1</xdr:col>
      <xdr:colOff>38100</xdr:colOff>
      <xdr:row>103</xdr:row>
      <xdr:rowOff>171450</xdr:rowOff>
    </xdr:from>
    <xdr:ext cx="360000" cy="360000"/>
    <xdr:pic>
      <xdr:nvPicPr>
        <xdr:cNvPr id="54" name="Picture 53"/>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66700" y="23012400"/>
          <a:ext cx="360000" cy="360000"/>
        </a:xfrm>
        <a:prstGeom prst="rect">
          <a:avLst/>
        </a:prstGeom>
      </xdr:spPr>
    </xdr:pic>
    <xdr:clientData/>
  </xdr:oneCellAnchor>
  <xdr:oneCellAnchor>
    <xdr:from>
      <xdr:col>1</xdr:col>
      <xdr:colOff>47625</xdr:colOff>
      <xdr:row>126</xdr:row>
      <xdr:rowOff>123825</xdr:rowOff>
    </xdr:from>
    <xdr:ext cx="504000" cy="504000"/>
    <xdr:pic>
      <xdr:nvPicPr>
        <xdr:cNvPr id="55" name="Picture 5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95275" y="25755600"/>
          <a:ext cx="504000" cy="504000"/>
        </a:xfrm>
        <a:prstGeom prst="rect">
          <a:avLst/>
        </a:prstGeom>
      </xdr:spPr>
    </xdr:pic>
    <xdr:clientData/>
  </xdr:oneCellAnchor>
  <xdr:oneCellAnchor>
    <xdr:from>
      <xdr:col>1</xdr:col>
      <xdr:colOff>28575</xdr:colOff>
      <xdr:row>122</xdr:row>
      <xdr:rowOff>152400</xdr:rowOff>
    </xdr:from>
    <xdr:ext cx="360000" cy="360000"/>
    <xdr:pic>
      <xdr:nvPicPr>
        <xdr:cNvPr id="56" name="Picture 5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57175" y="27089100"/>
          <a:ext cx="360000" cy="360000"/>
        </a:xfrm>
        <a:prstGeom prst="rect">
          <a:avLst/>
        </a:prstGeom>
      </xdr:spPr>
    </xdr:pic>
    <xdr:clientData/>
  </xdr:oneCellAnchor>
  <xdr:twoCellAnchor editAs="oneCell">
    <xdr:from>
      <xdr:col>1</xdr:col>
      <xdr:colOff>9525</xdr:colOff>
      <xdr:row>132</xdr:row>
      <xdr:rowOff>0</xdr:rowOff>
    </xdr:from>
    <xdr:to>
      <xdr:col>1</xdr:col>
      <xdr:colOff>405525</xdr:colOff>
      <xdr:row>134</xdr:row>
      <xdr:rowOff>15000</xdr:rowOff>
    </xdr:to>
    <xdr:pic>
      <xdr:nvPicPr>
        <xdr:cNvPr id="57" name="Picture 5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57175" y="26774775"/>
          <a:ext cx="396000" cy="396000"/>
        </a:xfrm>
        <a:prstGeom prst="rect">
          <a:avLst/>
        </a:prstGeom>
      </xdr:spPr>
    </xdr:pic>
    <xdr:clientData/>
  </xdr:twoCellAnchor>
  <xdr:oneCellAnchor>
    <xdr:from>
      <xdr:col>1</xdr:col>
      <xdr:colOff>57150</xdr:colOff>
      <xdr:row>176</xdr:row>
      <xdr:rowOff>180975</xdr:rowOff>
    </xdr:from>
    <xdr:ext cx="504000" cy="504000"/>
    <xdr:pic>
      <xdr:nvPicPr>
        <xdr:cNvPr id="58" name="Picture 5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5750" y="38747700"/>
          <a:ext cx="504000" cy="504000"/>
        </a:xfrm>
        <a:prstGeom prst="rect">
          <a:avLst/>
        </a:prstGeom>
      </xdr:spPr>
    </xdr:pic>
    <xdr:clientData/>
  </xdr:oneCellAnchor>
  <xdr:oneCellAnchor>
    <xdr:from>
      <xdr:col>1</xdr:col>
      <xdr:colOff>66675</xdr:colOff>
      <xdr:row>219</xdr:row>
      <xdr:rowOff>190500</xdr:rowOff>
    </xdr:from>
    <xdr:ext cx="468000" cy="468000"/>
    <xdr:pic>
      <xdr:nvPicPr>
        <xdr:cNvPr id="59" name="Picture 5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5275" y="48587025"/>
          <a:ext cx="468000" cy="468000"/>
        </a:xfrm>
        <a:prstGeom prst="rect">
          <a:avLst/>
        </a:prstGeom>
      </xdr:spPr>
    </xdr:pic>
    <xdr:clientData/>
  </xdr:oneCellAnchor>
  <xdr:twoCellAnchor editAs="oneCell">
    <xdr:from>
      <xdr:col>1</xdr:col>
      <xdr:colOff>0</xdr:colOff>
      <xdr:row>9</xdr:row>
      <xdr:rowOff>85725</xdr:rowOff>
    </xdr:from>
    <xdr:to>
      <xdr:col>1</xdr:col>
      <xdr:colOff>396000</xdr:colOff>
      <xdr:row>11</xdr:row>
      <xdr:rowOff>100725</xdr:rowOff>
    </xdr:to>
    <xdr:pic>
      <xdr:nvPicPr>
        <xdr:cNvPr id="60" name="Picture 59"/>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47650" y="2295525"/>
          <a:ext cx="396000" cy="396000"/>
        </a:xfrm>
        <a:prstGeom prst="rect">
          <a:avLst/>
        </a:prstGeom>
      </xdr:spPr>
    </xdr:pic>
    <xdr:clientData/>
  </xdr:twoCellAnchor>
  <xdr:oneCellAnchor>
    <xdr:from>
      <xdr:col>1</xdr:col>
      <xdr:colOff>38100</xdr:colOff>
      <xdr:row>136</xdr:row>
      <xdr:rowOff>95250</xdr:rowOff>
    </xdr:from>
    <xdr:ext cx="360000" cy="360000"/>
    <xdr:pic>
      <xdr:nvPicPr>
        <xdr:cNvPr id="61" name="Picture 6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28298775"/>
          <a:ext cx="360000" cy="360000"/>
        </a:xfrm>
        <a:prstGeom prst="rect">
          <a:avLst/>
        </a:prstGeom>
      </xdr:spPr>
    </xdr:pic>
    <xdr:clientData/>
  </xdr:oneCellAnchor>
  <xdr:oneCellAnchor>
    <xdr:from>
      <xdr:col>1</xdr:col>
      <xdr:colOff>38100</xdr:colOff>
      <xdr:row>181</xdr:row>
      <xdr:rowOff>95250</xdr:rowOff>
    </xdr:from>
    <xdr:ext cx="360000" cy="360000"/>
    <xdr:pic>
      <xdr:nvPicPr>
        <xdr:cNvPr id="62" name="Picture 6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28298775"/>
          <a:ext cx="360000" cy="360000"/>
        </a:xfrm>
        <a:prstGeom prst="rect">
          <a:avLst/>
        </a:prstGeom>
      </xdr:spPr>
    </xdr:pic>
    <xdr:clientData/>
  </xdr:oneCellAnchor>
  <xdr:oneCellAnchor>
    <xdr:from>
      <xdr:col>1</xdr:col>
      <xdr:colOff>38100</xdr:colOff>
      <xdr:row>242</xdr:row>
      <xdr:rowOff>95250</xdr:rowOff>
    </xdr:from>
    <xdr:ext cx="360000" cy="360000"/>
    <xdr:pic>
      <xdr:nvPicPr>
        <xdr:cNvPr id="63" name="Picture 6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85750" y="36957000"/>
          <a:ext cx="360000" cy="360000"/>
        </a:xfrm>
        <a:prstGeom prst="rect">
          <a:avLst/>
        </a:prstGeom>
      </xdr:spPr>
    </xdr:pic>
    <xdr:clientData/>
  </xdr:oneCellAnchor>
  <xdr:twoCellAnchor>
    <xdr:from>
      <xdr:col>8</xdr:col>
      <xdr:colOff>1076325</xdr:colOff>
      <xdr:row>1</xdr:row>
      <xdr:rowOff>123825</xdr:rowOff>
    </xdr:from>
    <xdr:to>
      <xdr:col>9</xdr:col>
      <xdr:colOff>409575</xdr:colOff>
      <xdr:row>3</xdr:row>
      <xdr:rowOff>95250</xdr:rowOff>
    </xdr:to>
    <xdr:sp macro="" textlink="">
      <xdr:nvSpPr>
        <xdr:cNvPr id="64" name="Up Arrow 63">
          <a:hlinkClick xmlns:r="http://schemas.openxmlformats.org/officeDocument/2006/relationships" r:id="rId15" tooltip="Back to top"/>
        </xdr:cNvPr>
        <xdr:cNvSpPr/>
      </xdr:nvSpPr>
      <xdr:spPr>
        <a:xfrm>
          <a:off x="9410700" y="44767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xdr:row>
      <xdr:rowOff>114301</xdr:rowOff>
    </xdr:from>
    <xdr:to>
      <xdr:col>2</xdr:col>
      <xdr:colOff>598875</xdr:colOff>
      <xdr:row>3</xdr:row>
      <xdr:rowOff>57301</xdr:rowOff>
    </xdr:to>
    <xdr:sp macro="" textlink="">
      <xdr:nvSpPr>
        <xdr:cNvPr id="5" name="Rectangle à coins arrondis 2">
          <a:hlinkClick xmlns:r="http://schemas.openxmlformats.org/officeDocument/2006/relationships" r:id="rId1" tooltip="Back to Energy"/>
        </xdr:cNvPr>
        <xdr:cNvSpPr>
          <a:spLocks noChangeArrowheads="1"/>
        </xdr:cNvSpPr>
      </xdr:nvSpPr>
      <xdr:spPr bwMode="auto">
        <a:xfrm>
          <a:off x="276225" y="438151"/>
          <a:ext cx="198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1181100</xdr:colOff>
      <xdr:row>1</xdr:row>
      <xdr:rowOff>114300</xdr:rowOff>
    </xdr:from>
    <xdr:to>
      <xdr:col>4</xdr:col>
      <xdr:colOff>398850</xdr:colOff>
      <xdr:row>3</xdr:row>
      <xdr:rowOff>57300</xdr:rowOff>
    </xdr:to>
    <xdr:sp macro="" textlink="">
      <xdr:nvSpPr>
        <xdr:cNvPr id="6" name="Rectangle à coins arrondis 2">
          <a:hlinkClick xmlns:r="http://schemas.openxmlformats.org/officeDocument/2006/relationships" r:id="rId2" tooltip="See the Scorecard"/>
        </xdr:cNvPr>
        <xdr:cNvSpPr>
          <a:spLocks noChangeArrowheads="1"/>
        </xdr:cNvSpPr>
      </xdr:nvSpPr>
      <xdr:spPr bwMode="auto">
        <a:xfrm>
          <a:off x="2838450" y="43815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5</xdr:col>
      <xdr:colOff>657225</xdr:colOff>
      <xdr:row>5</xdr:row>
      <xdr:rowOff>76200</xdr:rowOff>
    </xdr:from>
    <xdr:to>
      <xdr:col>6</xdr:col>
      <xdr:colOff>1048500</xdr:colOff>
      <xdr:row>6</xdr:row>
      <xdr:rowOff>90075</xdr:rowOff>
    </xdr:to>
    <xdr:sp macro="" textlink="">
      <xdr:nvSpPr>
        <xdr:cNvPr id="4" name="Rectangle à coins arrondis 2">
          <a:hlinkClick xmlns:r="http://schemas.openxmlformats.org/officeDocument/2006/relationships" r:id="rId3" tooltip="Prescriptive Path"/>
        </xdr:cNvPr>
        <xdr:cNvSpPr>
          <a:spLocks noChangeArrowheads="1"/>
        </xdr:cNvSpPr>
      </xdr:nvSpPr>
      <xdr:spPr bwMode="auto">
        <a:xfrm>
          <a:off x="6457950" y="1228725"/>
          <a:ext cx="1620000"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7</xdr:col>
      <xdr:colOff>38100</xdr:colOff>
      <xdr:row>5</xdr:row>
      <xdr:rowOff>76200</xdr:rowOff>
    </xdr:from>
    <xdr:to>
      <xdr:col>8</xdr:col>
      <xdr:colOff>267450</xdr:colOff>
      <xdr:row>6</xdr:row>
      <xdr:rowOff>90075</xdr:rowOff>
    </xdr:to>
    <xdr:sp macro="" textlink="">
      <xdr:nvSpPr>
        <xdr:cNvPr id="7" name="Rectangle à coins arrondis 2">
          <a:hlinkClick xmlns:r="http://schemas.openxmlformats.org/officeDocument/2006/relationships" r:id="rId4" tooltip="Performance Path"/>
        </xdr:cNvPr>
        <xdr:cNvSpPr>
          <a:spLocks noChangeArrowheads="1"/>
        </xdr:cNvSpPr>
      </xdr:nvSpPr>
      <xdr:spPr bwMode="auto">
        <a:xfrm>
          <a:off x="8458200" y="1228725"/>
          <a:ext cx="1620000" cy="27105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5</xdr:col>
      <xdr:colOff>152400</xdr:colOff>
      <xdr:row>5</xdr:row>
      <xdr:rowOff>85725</xdr:rowOff>
    </xdr:from>
    <xdr:to>
      <xdr:col>5</xdr:col>
      <xdr:colOff>476400</xdr:colOff>
      <xdr:row>6</xdr:row>
      <xdr:rowOff>99600</xdr:rowOff>
    </xdr:to>
    <xdr:sp macro="" textlink="">
      <xdr:nvSpPr>
        <xdr:cNvPr id="8" name="Flèche droite 7"/>
        <xdr:cNvSpPr/>
      </xdr:nvSpPr>
      <xdr:spPr>
        <a:xfrm>
          <a:off x="5953125" y="1238250"/>
          <a:ext cx="324000" cy="271050"/>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oneCellAnchor>
    <xdr:from>
      <xdr:col>1</xdr:col>
      <xdr:colOff>9525</xdr:colOff>
      <xdr:row>27</xdr:row>
      <xdr:rowOff>9525</xdr:rowOff>
    </xdr:from>
    <xdr:ext cx="401641" cy="396000"/>
    <xdr:pic>
      <xdr:nvPicPr>
        <xdr:cNvPr id="9" name="Picture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5750" y="6076950"/>
          <a:ext cx="401641" cy="396000"/>
        </a:xfrm>
        <a:prstGeom prst="rect">
          <a:avLst/>
        </a:prstGeom>
      </xdr:spPr>
    </xdr:pic>
    <xdr:clientData/>
  </xdr:oneCellAnchor>
  <xdr:twoCellAnchor editAs="oneCell">
    <xdr:from>
      <xdr:col>1</xdr:col>
      <xdr:colOff>28575</xdr:colOff>
      <xdr:row>24</xdr:row>
      <xdr:rowOff>123825</xdr:rowOff>
    </xdr:from>
    <xdr:to>
      <xdr:col>1</xdr:col>
      <xdr:colOff>388575</xdr:colOff>
      <xdr:row>26</xdr:row>
      <xdr:rowOff>102825</xdr:rowOff>
    </xdr:to>
    <xdr:pic>
      <xdr:nvPicPr>
        <xdr:cNvPr id="10" name="Picture 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4800" y="5619750"/>
          <a:ext cx="360000" cy="360000"/>
        </a:xfrm>
        <a:prstGeom prst="rect">
          <a:avLst/>
        </a:prstGeom>
      </xdr:spPr>
    </xdr:pic>
    <xdr:clientData/>
  </xdr:twoCellAnchor>
  <xdr:twoCellAnchor editAs="oneCell">
    <xdr:from>
      <xdr:col>1</xdr:col>
      <xdr:colOff>57150</xdr:colOff>
      <xdr:row>31</xdr:row>
      <xdr:rowOff>114300</xdr:rowOff>
    </xdr:from>
    <xdr:to>
      <xdr:col>1</xdr:col>
      <xdr:colOff>417150</xdr:colOff>
      <xdr:row>33</xdr:row>
      <xdr:rowOff>93300</xdr:rowOff>
    </xdr:to>
    <xdr:pic>
      <xdr:nvPicPr>
        <xdr:cNvPr id="11" name="Picture 1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3375" y="6962775"/>
          <a:ext cx="360000" cy="360000"/>
        </a:xfrm>
        <a:prstGeom prst="rect">
          <a:avLst/>
        </a:prstGeom>
      </xdr:spPr>
    </xdr:pic>
    <xdr:clientData/>
  </xdr:twoCellAnchor>
  <xdr:twoCellAnchor editAs="oneCell">
    <xdr:from>
      <xdr:col>1</xdr:col>
      <xdr:colOff>9525</xdr:colOff>
      <xdr:row>18</xdr:row>
      <xdr:rowOff>9525</xdr:rowOff>
    </xdr:from>
    <xdr:to>
      <xdr:col>1</xdr:col>
      <xdr:colOff>405525</xdr:colOff>
      <xdr:row>20</xdr:row>
      <xdr:rowOff>24525</xdr:rowOff>
    </xdr:to>
    <xdr:pic>
      <xdr:nvPicPr>
        <xdr:cNvPr id="2" name="Picture 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0" y="4305300"/>
          <a:ext cx="396000" cy="396000"/>
        </a:xfrm>
        <a:prstGeom prst="rect">
          <a:avLst/>
        </a:prstGeom>
      </xdr:spPr>
    </xdr:pic>
    <xdr:clientData/>
  </xdr:twoCellAnchor>
  <xdr:twoCellAnchor editAs="oneCell">
    <xdr:from>
      <xdr:col>1</xdr:col>
      <xdr:colOff>19050</xdr:colOff>
      <xdr:row>78</xdr:row>
      <xdr:rowOff>76200</xdr:rowOff>
    </xdr:from>
    <xdr:to>
      <xdr:col>1</xdr:col>
      <xdr:colOff>379050</xdr:colOff>
      <xdr:row>80</xdr:row>
      <xdr:rowOff>93300</xdr:rowOff>
    </xdr:to>
    <xdr:pic>
      <xdr:nvPicPr>
        <xdr:cNvPr id="12" name="Picture 1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 y="14439900"/>
          <a:ext cx="360000" cy="360000"/>
        </a:xfrm>
        <a:prstGeom prst="rect">
          <a:avLst/>
        </a:prstGeom>
      </xdr:spPr>
    </xdr:pic>
    <xdr:clientData/>
  </xdr:twoCellAnchor>
  <xdr:oneCellAnchor>
    <xdr:from>
      <xdr:col>1</xdr:col>
      <xdr:colOff>28575</xdr:colOff>
      <xdr:row>68</xdr:row>
      <xdr:rowOff>123825</xdr:rowOff>
    </xdr:from>
    <xdr:ext cx="360000" cy="360000"/>
    <xdr:pic>
      <xdr:nvPicPr>
        <xdr:cNvPr id="13" name="Picture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04800" y="5734050"/>
          <a:ext cx="360000" cy="360000"/>
        </a:xfrm>
        <a:prstGeom prst="rect">
          <a:avLst/>
        </a:prstGeom>
      </xdr:spPr>
    </xdr:pic>
    <xdr:clientData/>
  </xdr:oneCellAnchor>
  <xdr:oneCellAnchor>
    <xdr:from>
      <xdr:col>1</xdr:col>
      <xdr:colOff>19050</xdr:colOff>
      <xdr:row>71</xdr:row>
      <xdr:rowOff>0</xdr:rowOff>
    </xdr:from>
    <xdr:ext cx="401641" cy="396000"/>
    <xdr:pic>
      <xdr:nvPicPr>
        <xdr:cNvPr id="14" name="Picture 13"/>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95275" y="14954250"/>
          <a:ext cx="401641" cy="396000"/>
        </a:xfrm>
        <a:prstGeom prst="rect">
          <a:avLst/>
        </a:prstGeom>
      </xdr:spPr>
    </xdr:pic>
    <xdr:clientData/>
  </xdr:oneCellAnchor>
  <xdr:oneCellAnchor>
    <xdr:from>
      <xdr:col>1</xdr:col>
      <xdr:colOff>57150</xdr:colOff>
      <xdr:row>74</xdr:row>
      <xdr:rowOff>28575</xdr:rowOff>
    </xdr:from>
    <xdr:ext cx="360000" cy="360000"/>
    <xdr:pic>
      <xdr:nvPicPr>
        <xdr:cNvPr id="15" name="Picture 1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15611475"/>
          <a:ext cx="360000" cy="360000"/>
        </a:xfrm>
        <a:prstGeom prst="rect">
          <a:avLst/>
        </a:prstGeom>
      </xdr:spPr>
    </xdr:pic>
    <xdr:clientData/>
  </xdr:oneCellAnchor>
  <xdr:twoCellAnchor>
    <xdr:from>
      <xdr:col>6</xdr:col>
      <xdr:colOff>847725</xdr:colOff>
      <xdr:row>1</xdr:row>
      <xdr:rowOff>104775</xdr:rowOff>
    </xdr:from>
    <xdr:to>
      <xdr:col>6</xdr:col>
      <xdr:colOff>1295400</xdr:colOff>
      <xdr:row>3</xdr:row>
      <xdr:rowOff>76200</xdr:rowOff>
    </xdr:to>
    <xdr:sp macro="" textlink="">
      <xdr:nvSpPr>
        <xdr:cNvPr id="16" name="Up Arrow 15">
          <a:hlinkClick xmlns:r="http://schemas.openxmlformats.org/officeDocument/2006/relationships" r:id="rId10" tooltip="Back to top"/>
        </xdr:cNvPr>
        <xdr:cNvSpPr/>
      </xdr:nvSpPr>
      <xdr:spPr>
        <a:xfrm>
          <a:off x="7877175" y="42862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6</xdr:col>
      <xdr:colOff>600075</xdr:colOff>
      <xdr:row>5</xdr:row>
      <xdr:rowOff>95250</xdr:rowOff>
    </xdr:from>
    <xdr:to>
      <xdr:col>7</xdr:col>
      <xdr:colOff>580500</xdr:colOff>
      <xdr:row>6</xdr:row>
      <xdr:rowOff>99600</xdr:rowOff>
    </xdr:to>
    <xdr:sp macro="" textlink="">
      <xdr:nvSpPr>
        <xdr:cNvPr id="5" name="Rectangle à coins arrondis 2">
          <a:hlinkClick xmlns:r="http://schemas.openxmlformats.org/officeDocument/2006/relationships" r:id="rId1" tooltip="Option A"/>
        </xdr:cNvPr>
        <xdr:cNvSpPr>
          <a:spLocks noChangeArrowheads="1"/>
        </xdr:cNvSpPr>
      </xdr:nvSpPr>
      <xdr:spPr bwMode="auto">
        <a:xfrm>
          <a:off x="7924800" y="1257300"/>
          <a:ext cx="1152000"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A</a:t>
          </a:r>
        </a:p>
      </xdr:txBody>
    </xdr:sp>
    <xdr:clientData/>
  </xdr:twoCellAnchor>
  <xdr:twoCellAnchor>
    <xdr:from>
      <xdr:col>7</xdr:col>
      <xdr:colOff>781049</xdr:colOff>
      <xdr:row>5</xdr:row>
      <xdr:rowOff>95250</xdr:rowOff>
    </xdr:from>
    <xdr:to>
      <xdr:col>8</xdr:col>
      <xdr:colOff>466199</xdr:colOff>
      <xdr:row>6</xdr:row>
      <xdr:rowOff>99600</xdr:rowOff>
    </xdr:to>
    <xdr:sp macro="" textlink="">
      <xdr:nvSpPr>
        <xdr:cNvPr id="6" name="Rectangle à coins arrondis 2">
          <a:hlinkClick xmlns:r="http://schemas.openxmlformats.org/officeDocument/2006/relationships" r:id="rId2" tooltip="Option B"/>
        </xdr:cNvPr>
        <xdr:cNvSpPr>
          <a:spLocks noChangeArrowheads="1"/>
        </xdr:cNvSpPr>
      </xdr:nvSpPr>
      <xdr:spPr bwMode="auto">
        <a:xfrm>
          <a:off x="9277349" y="1257300"/>
          <a:ext cx="1152000" cy="271050"/>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Option B</a:t>
          </a:r>
        </a:p>
      </xdr:txBody>
    </xdr:sp>
    <xdr:clientData/>
  </xdr:twoCellAnchor>
  <xdr:twoCellAnchor>
    <xdr:from>
      <xdr:col>6</xdr:col>
      <xdr:colOff>95250</xdr:colOff>
      <xdr:row>5</xdr:row>
      <xdr:rowOff>104775</xdr:rowOff>
    </xdr:from>
    <xdr:to>
      <xdr:col>6</xdr:col>
      <xdr:colOff>419250</xdr:colOff>
      <xdr:row>6</xdr:row>
      <xdr:rowOff>109125</xdr:rowOff>
    </xdr:to>
    <xdr:sp macro="" textlink="">
      <xdr:nvSpPr>
        <xdr:cNvPr id="7" name="Flèche droite 6"/>
        <xdr:cNvSpPr/>
      </xdr:nvSpPr>
      <xdr:spPr>
        <a:xfrm>
          <a:off x="7419975" y="1266825"/>
          <a:ext cx="324000" cy="271050"/>
        </a:xfrm>
        <a:prstGeom prst="rightArrow">
          <a:avLst/>
        </a:prstGeom>
        <a:solidFill>
          <a:srgbClr val="58AB27"/>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1</xdr:col>
      <xdr:colOff>0</xdr:colOff>
      <xdr:row>1</xdr:row>
      <xdr:rowOff>133350</xdr:rowOff>
    </xdr:from>
    <xdr:to>
      <xdr:col>2</xdr:col>
      <xdr:colOff>778875</xdr:colOff>
      <xdr:row>3</xdr:row>
      <xdr:rowOff>76350</xdr:rowOff>
    </xdr:to>
    <xdr:sp macro="" textlink="">
      <xdr:nvSpPr>
        <xdr:cNvPr id="8" name="Rectangle à coins arrondis 2">
          <a:hlinkClick xmlns:r="http://schemas.openxmlformats.org/officeDocument/2006/relationships" r:id="rId3" tooltip="Back to Energy"/>
        </xdr:cNvPr>
        <xdr:cNvSpPr>
          <a:spLocks noChangeArrowheads="1"/>
        </xdr:cNvSpPr>
      </xdr:nvSpPr>
      <xdr:spPr bwMode="auto">
        <a:xfrm>
          <a:off x="276225" y="457200"/>
          <a:ext cx="216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1228725</xdr:colOff>
      <xdr:row>1</xdr:row>
      <xdr:rowOff>133350</xdr:rowOff>
    </xdr:from>
    <xdr:to>
      <xdr:col>4</xdr:col>
      <xdr:colOff>512175</xdr:colOff>
      <xdr:row>3</xdr:row>
      <xdr:rowOff>76350</xdr:rowOff>
    </xdr:to>
    <xdr:sp macro="" textlink="">
      <xdr:nvSpPr>
        <xdr:cNvPr id="9" name="Rectangle à coins arrondis 8">
          <a:hlinkClick xmlns:r="http://schemas.openxmlformats.org/officeDocument/2006/relationships" r:id="rId4" tooltip="Scorecard"/>
        </xdr:cNvPr>
        <xdr:cNvSpPr>
          <a:spLocks noChangeArrowheads="1"/>
        </xdr:cNvSpPr>
      </xdr:nvSpPr>
      <xdr:spPr bwMode="auto">
        <a:xfrm>
          <a:off x="2857500" y="4572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38100</xdr:colOff>
      <xdr:row>19</xdr:row>
      <xdr:rowOff>114300</xdr:rowOff>
    </xdr:from>
    <xdr:to>
      <xdr:col>1</xdr:col>
      <xdr:colOff>398100</xdr:colOff>
      <xdr:row>21</xdr:row>
      <xdr:rowOff>93300</xdr:rowOff>
    </xdr:to>
    <xdr:pic>
      <xdr:nvPicPr>
        <xdr:cNvPr id="11" name="Picture 1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4325" y="4591050"/>
          <a:ext cx="360000" cy="360000"/>
        </a:xfrm>
        <a:prstGeom prst="rect">
          <a:avLst/>
        </a:prstGeom>
      </xdr:spPr>
    </xdr:pic>
    <xdr:clientData/>
  </xdr:twoCellAnchor>
  <xdr:oneCellAnchor>
    <xdr:from>
      <xdr:col>1</xdr:col>
      <xdr:colOff>38100</xdr:colOff>
      <xdr:row>43</xdr:row>
      <xdr:rowOff>114300</xdr:rowOff>
    </xdr:from>
    <xdr:ext cx="360000" cy="360000"/>
    <xdr:pic>
      <xdr:nvPicPr>
        <xdr:cNvPr id="12" name="Picture 1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14325" y="4591050"/>
          <a:ext cx="360000" cy="360000"/>
        </a:xfrm>
        <a:prstGeom prst="rect">
          <a:avLst/>
        </a:prstGeom>
      </xdr:spPr>
    </xdr:pic>
    <xdr:clientData/>
  </xdr:oneCellAnchor>
  <xdr:twoCellAnchor editAs="oneCell">
    <xdr:from>
      <xdr:col>1</xdr:col>
      <xdr:colOff>38100</xdr:colOff>
      <xdr:row>22</xdr:row>
      <xdr:rowOff>19050</xdr:rowOff>
    </xdr:from>
    <xdr:to>
      <xdr:col>1</xdr:col>
      <xdr:colOff>398100</xdr:colOff>
      <xdr:row>24</xdr:row>
      <xdr:rowOff>102825</xdr:rowOff>
    </xdr:to>
    <xdr:pic>
      <xdr:nvPicPr>
        <xdr:cNvPr id="13" name="Picture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5048250"/>
          <a:ext cx="360000" cy="360000"/>
        </a:xfrm>
        <a:prstGeom prst="rect">
          <a:avLst/>
        </a:prstGeom>
      </xdr:spPr>
    </xdr:pic>
    <xdr:clientData/>
  </xdr:twoCellAnchor>
  <xdr:oneCellAnchor>
    <xdr:from>
      <xdr:col>1</xdr:col>
      <xdr:colOff>19050</xdr:colOff>
      <xdr:row>52</xdr:row>
      <xdr:rowOff>19050</xdr:rowOff>
    </xdr:from>
    <xdr:ext cx="360000" cy="360000"/>
    <xdr:pic>
      <xdr:nvPicPr>
        <xdr:cNvPr id="15" name="Picture 1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6700" y="10953750"/>
          <a:ext cx="360000" cy="360000"/>
        </a:xfrm>
        <a:prstGeom prst="rect">
          <a:avLst/>
        </a:prstGeom>
      </xdr:spPr>
    </xdr:pic>
    <xdr:clientData/>
  </xdr:oneCellAnchor>
  <xdr:oneCellAnchor>
    <xdr:from>
      <xdr:col>1</xdr:col>
      <xdr:colOff>38100</xdr:colOff>
      <xdr:row>47</xdr:row>
      <xdr:rowOff>104775</xdr:rowOff>
    </xdr:from>
    <xdr:ext cx="360000" cy="360000"/>
    <xdr:pic>
      <xdr:nvPicPr>
        <xdr:cNvPr id="16" name="Picture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10210800"/>
          <a:ext cx="360000" cy="360000"/>
        </a:xfrm>
        <a:prstGeom prst="rect">
          <a:avLst/>
        </a:prstGeom>
      </xdr:spPr>
    </xdr:pic>
    <xdr:clientData/>
  </xdr:oneCellAnchor>
  <xdr:oneCellAnchor>
    <xdr:from>
      <xdr:col>1</xdr:col>
      <xdr:colOff>38100</xdr:colOff>
      <xdr:row>54</xdr:row>
      <xdr:rowOff>95250</xdr:rowOff>
    </xdr:from>
    <xdr:ext cx="360000" cy="360000"/>
    <xdr:pic>
      <xdr:nvPicPr>
        <xdr:cNvPr id="17" name="Picture 1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11515725"/>
          <a:ext cx="360000" cy="360000"/>
        </a:xfrm>
        <a:prstGeom prst="rect">
          <a:avLst/>
        </a:prstGeom>
      </xdr:spPr>
    </xdr:pic>
    <xdr:clientData/>
  </xdr:oneCellAnchor>
  <xdr:twoCellAnchor>
    <xdr:from>
      <xdr:col>6</xdr:col>
      <xdr:colOff>704850</xdr:colOff>
      <xdr:row>1</xdr:row>
      <xdr:rowOff>95250</xdr:rowOff>
    </xdr:from>
    <xdr:to>
      <xdr:col>6</xdr:col>
      <xdr:colOff>1152525</xdr:colOff>
      <xdr:row>3</xdr:row>
      <xdr:rowOff>66675</xdr:rowOff>
    </xdr:to>
    <xdr:sp macro="" textlink="">
      <xdr:nvSpPr>
        <xdr:cNvPr id="14" name="Up Arrow 13">
          <a:hlinkClick xmlns:r="http://schemas.openxmlformats.org/officeDocument/2006/relationships" r:id="rId7" tooltip="Back to top"/>
        </xdr:cNvPr>
        <xdr:cNvSpPr/>
      </xdr:nvSpPr>
      <xdr:spPr>
        <a:xfrm>
          <a:off x="8029575" y="419100"/>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9525</xdr:colOff>
      <xdr:row>1</xdr:row>
      <xdr:rowOff>114300</xdr:rowOff>
    </xdr:from>
    <xdr:to>
      <xdr:col>2</xdr:col>
      <xdr:colOff>845550</xdr:colOff>
      <xdr:row>3</xdr:row>
      <xdr:rowOff>57300</xdr:rowOff>
    </xdr:to>
    <xdr:sp macro="" textlink="">
      <xdr:nvSpPr>
        <xdr:cNvPr id="7" name="Rectangle à coins arrondis 2">
          <a:hlinkClick xmlns:r="http://schemas.openxmlformats.org/officeDocument/2006/relationships" r:id="rId1" tooltip="Back to Energy"/>
        </xdr:cNvPr>
        <xdr:cNvSpPr>
          <a:spLocks noChangeArrowheads="1"/>
        </xdr:cNvSpPr>
      </xdr:nvSpPr>
      <xdr:spPr bwMode="auto">
        <a:xfrm>
          <a:off x="285750" y="438150"/>
          <a:ext cx="216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3</xdr:col>
      <xdr:colOff>200025</xdr:colOff>
      <xdr:row>1</xdr:row>
      <xdr:rowOff>114300</xdr:rowOff>
    </xdr:from>
    <xdr:to>
      <xdr:col>4</xdr:col>
      <xdr:colOff>1369425</xdr:colOff>
      <xdr:row>3</xdr:row>
      <xdr:rowOff>57300</xdr:rowOff>
    </xdr:to>
    <xdr:sp macro="" textlink="">
      <xdr:nvSpPr>
        <xdr:cNvPr id="8" name="Rectangle à coins arrondis 7">
          <a:hlinkClick xmlns:r="http://schemas.openxmlformats.org/officeDocument/2006/relationships" r:id="rId2" tooltip="Scorecard"/>
        </xdr:cNvPr>
        <xdr:cNvSpPr>
          <a:spLocks noChangeArrowheads="1"/>
        </xdr:cNvSpPr>
      </xdr:nvSpPr>
      <xdr:spPr bwMode="auto">
        <a:xfrm>
          <a:off x="2952750" y="4381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0</xdr:colOff>
      <xdr:row>14</xdr:row>
      <xdr:rowOff>95250</xdr:rowOff>
    </xdr:from>
    <xdr:to>
      <xdr:col>1</xdr:col>
      <xdr:colOff>396000</xdr:colOff>
      <xdr:row>16</xdr:row>
      <xdr:rowOff>110250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225" y="4676775"/>
          <a:ext cx="396000" cy="396000"/>
        </a:xfrm>
        <a:prstGeom prst="rect">
          <a:avLst/>
        </a:prstGeom>
      </xdr:spPr>
    </xdr:pic>
    <xdr:clientData/>
  </xdr:twoCellAnchor>
  <xdr:twoCellAnchor editAs="oneCell">
    <xdr:from>
      <xdr:col>1</xdr:col>
      <xdr:colOff>19050</xdr:colOff>
      <xdr:row>17</xdr:row>
      <xdr:rowOff>38100</xdr:rowOff>
    </xdr:from>
    <xdr:to>
      <xdr:col>1</xdr:col>
      <xdr:colOff>379050</xdr:colOff>
      <xdr:row>18</xdr:row>
      <xdr:rowOff>169500</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95275" y="4010025"/>
          <a:ext cx="360000" cy="360000"/>
        </a:xfrm>
        <a:prstGeom prst="rect">
          <a:avLst/>
        </a:prstGeom>
      </xdr:spPr>
    </xdr:pic>
    <xdr:clientData/>
  </xdr:twoCellAnchor>
  <xdr:twoCellAnchor editAs="oneCell">
    <xdr:from>
      <xdr:col>1</xdr:col>
      <xdr:colOff>95250</xdr:colOff>
      <xdr:row>22</xdr:row>
      <xdr:rowOff>171450</xdr:rowOff>
    </xdr:from>
    <xdr:to>
      <xdr:col>1</xdr:col>
      <xdr:colOff>743250</xdr:colOff>
      <xdr:row>26</xdr:row>
      <xdr:rowOff>57450</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71475" y="6172200"/>
          <a:ext cx="648000" cy="648000"/>
        </a:xfrm>
        <a:prstGeom prst="rect">
          <a:avLst/>
        </a:prstGeom>
      </xdr:spPr>
    </xdr:pic>
    <xdr:clientData/>
  </xdr:twoCellAnchor>
  <xdr:twoCellAnchor editAs="oneCell">
    <xdr:from>
      <xdr:col>1</xdr:col>
      <xdr:colOff>38100</xdr:colOff>
      <xdr:row>31</xdr:row>
      <xdr:rowOff>85725</xdr:rowOff>
    </xdr:from>
    <xdr:to>
      <xdr:col>1</xdr:col>
      <xdr:colOff>398100</xdr:colOff>
      <xdr:row>33</xdr:row>
      <xdr:rowOff>93300</xdr:rowOff>
    </xdr:to>
    <xdr:pic>
      <xdr:nvPicPr>
        <xdr:cNvPr id="9" name="Picture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4325" y="6886575"/>
          <a:ext cx="360000" cy="360000"/>
        </a:xfrm>
        <a:prstGeom prst="rect">
          <a:avLst/>
        </a:prstGeom>
      </xdr:spPr>
    </xdr:pic>
    <xdr:clientData/>
  </xdr:twoCellAnchor>
  <xdr:twoCellAnchor>
    <xdr:from>
      <xdr:col>7</xdr:col>
      <xdr:colOff>123825</xdr:colOff>
      <xdr:row>1</xdr:row>
      <xdr:rowOff>85725</xdr:rowOff>
    </xdr:from>
    <xdr:to>
      <xdr:col>7</xdr:col>
      <xdr:colOff>571500</xdr:colOff>
      <xdr:row>3</xdr:row>
      <xdr:rowOff>57150</xdr:rowOff>
    </xdr:to>
    <xdr:sp macro="" textlink="">
      <xdr:nvSpPr>
        <xdr:cNvPr id="10" name="Up Arrow 9">
          <a:hlinkClick xmlns:r="http://schemas.openxmlformats.org/officeDocument/2006/relationships" r:id="rId7" tooltip="Back to top"/>
        </xdr:cNvPr>
        <xdr:cNvSpPr/>
      </xdr:nvSpPr>
      <xdr:spPr>
        <a:xfrm>
          <a:off x="7886700" y="40957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28576</xdr:colOff>
      <xdr:row>0</xdr:row>
      <xdr:rowOff>47625</xdr:rowOff>
    </xdr:from>
    <xdr:to>
      <xdr:col>14</xdr:col>
      <xdr:colOff>498976</xdr:colOff>
      <xdr:row>0</xdr:row>
      <xdr:rowOff>335625</xdr:rowOff>
    </xdr:to>
    <xdr:sp macro="" textlink="">
      <xdr:nvSpPr>
        <xdr:cNvPr id="3" name="Rectangle à coins arrondis 2">
          <a:hlinkClick xmlns:r="http://schemas.openxmlformats.org/officeDocument/2006/relationships" r:id="rId1" tooltip="Scorecard"/>
        </xdr:cNvPr>
        <xdr:cNvSpPr>
          <a:spLocks noChangeArrowheads="1"/>
        </xdr:cNvSpPr>
      </xdr:nvSpPr>
      <xdr:spPr bwMode="auto">
        <a:xfrm>
          <a:off x="7858126"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11</xdr:col>
      <xdr:colOff>43924</xdr:colOff>
      <xdr:row>0</xdr:row>
      <xdr:rowOff>47625</xdr:rowOff>
    </xdr:from>
    <xdr:to>
      <xdr:col>12</xdr:col>
      <xdr:colOff>514324</xdr:colOff>
      <xdr:row>0</xdr:row>
      <xdr:rowOff>335625</xdr:rowOff>
    </xdr:to>
    <xdr:sp macro="" textlink="">
      <xdr:nvSpPr>
        <xdr:cNvPr id="4" name="Rectangle à coins arrondis 2">
          <a:hlinkClick xmlns:r="http://schemas.openxmlformats.org/officeDocument/2006/relationships" r:id="rId2" tooltip="Instructions"/>
        </xdr:cNvPr>
        <xdr:cNvSpPr>
          <a:spLocks noChangeArrowheads="1"/>
        </xdr:cNvSpPr>
      </xdr:nvSpPr>
      <xdr:spPr bwMode="auto">
        <a:xfrm>
          <a:off x="6654274"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9</xdr:col>
      <xdr:colOff>228600</xdr:colOff>
      <xdr:row>0</xdr:row>
      <xdr:rowOff>47625</xdr:rowOff>
    </xdr:from>
    <xdr:to>
      <xdr:col>10</xdr:col>
      <xdr:colOff>699000</xdr:colOff>
      <xdr:row>0</xdr:row>
      <xdr:rowOff>335625</xdr:rowOff>
    </xdr:to>
    <xdr:sp macro="" textlink="">
      <xdr:nvSpPr>
        <xdr:cNvPr id="5" name="Rectangle à coins arrondis 2">
          <a:hlinkClick xmlns:r="http://schemas.openxmlformats.org/officeDocument/2006/relationships" r:id="rId3" tooltip="Introduction"/>
        </xdr:cNvPr>
        <xdr:cNvSpPr>
          <a:spLocks noChangeArrowheads="1"/>
        </xdr:cNvSpPr>
      </xdr:nvSpPr>
      <xdr:spPr bwMode="auto">
        <a:xfrm>
          <a:off x="5448300"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twoCellAnchor editAs="oneCell">
    <xdr:from>
      <xdr:col>1</xdr:col>
      <xdr:colOff>247650</xdr:colOff>
      <xdr:row>28</xdr:row>
      <xdr:rowOff>104775</xdr:rowOff>
    </xdr:from>
    <xdr:to>
      <xdr:col>3</xdr:col>
      <xdr:colOff>538350</xdr:colOff>
      <xdr:row>36</xdr:row>
      <xdr:rowOff>52575</xdr:rowOff>
    </xdr:to>
    <xdr:pic>
      <xdr:nvPicPr>
        <xdr:cNvPr id="102" name="Picture 101" descr="http://vgbc.org.vn/wp-content/uploads/2016/10/bci-asia-1.png">
          <a:hlinkClick xmlns:r="http://schemas.openxmlformats.org/officeDocument/2006/relationships" r:id="rId4"/>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415" t="1220" r="1415" b="1220"/>
        <a:stretch/>
      </xdr:blipFill>
      <xdr:spPr bwMode="auto">
        <a:xfrm>
          <a:off x="495300" y="7191375"/>
          <a:ext cx="1548000" cy="14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352425</xdr:colOff>
      <xdr:row>28</xdr:row>
      <xdr:rowOff>123825</xdr:rowOff>
    </xdr:from>
    <xdr:to>
      <xdr:col>7</xdr:col>
      <xdr:colOff>71625</xdr:colOff>
      <xdr:row>36</xdr:row>
      <xdr:rowOff>71625</xdr:rowOff>
    </xdr:to>
    <xdr:pic>
      <xdr:nvPicPr>
        <xdr:cNvPr id="103" name="Picture 102" descr="http://vgbc.org.vn/wp-content/uploads/2016/10/graphenstone.-e1488516524932.jpg">
          <a:hlinkClick xmlns:r="http://schemas.openxmlformats.org/officeDocument/2006/relationships" r:id="rId6"/>
        </xdr:cNvPr>
        <xdr:cNvPicPr>
          <a:picLocks noChangeAspect="1" noChangeArrowheads="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220" t="1220" r="1220" b="1220"/>
        <a:stretch/>
      </xdr:blipFill>
      <xdr:spPr bwMode="auto">
        <a:xfrm>
          <a:off x="2524125" y="7210425"/>
          <a:ext cx="1548000" cy="14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514350</xdr:colOff>
      <xdr:row>28</xdr:row>
      <xdr:rowOff>123825</xdr:rowOff>
    </xdr:from>
    <xdr:to>
      <xdr:col>10</xdr:col>
      <xdr:colOff>233550</xdr:colOff>
      <xdr:row>36</xdr:row>
      <xdr:rowOff>71625</xdr:rowOff>
    </xdr:to>
    <xdr:pic>
      <xdr:nvPicPr>
        <xdr:cNvPr id="104" name="Picture 103" descr="http://vgbc.org.vn/wp-content/uploads/2016/10/green-consult-asia-1.png">
          <a:hlinkClick xmlns:r="http://schemas.openxmlformats.org/officeDocument/2006/relationships" r:id="rId8"/>
        </xdr:cNvPr>
        <xdr:cNvPicPr>
          <a:picLocks noChangeAspect="1" noChangeArrowheads="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1220" t="1220" r="1220" b="1220"/>
        <a:stretch/>
      </xdr:blipFill>
      <xdr:spPr bwMode="auto">
        <a:xfrm>
          <a:off x="4514850" y="7210425"/>
          <a:ext cx="1548000" cy="14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219075</xdr:colOff>
      <xdr:row>35</xdr:row>
      <xdr:rowOff>85725</xdr:rowOff>
    </xdr:from>
    <xdr:to>
      <xdr:col>3</xdr:col>
      <xdr:colOff>509775</xdr:colOff>
      <xdr:row>43</xdr:row>
      <xdr:rowOff>109725</xdr:rowOff>
    </xdr:to>
    <xdr:pic>
      <xdr:nvPicPr>
        <xdr:cNvPr id="105" name="Picture 104" descr="http://vgbc.org.vn/wp-content/uploads/2016/10/gyproc-1.png">
          <a:hlinkClick xmlns:r="http://schemas.openxmlformats.org/officeDocument/2006/relationships" r:id="rId10"/>
        </xdr:cNvPr>
        <xdr:cNvPicPr>
          <a:picLocks noChangeAspect="1" noChangeArrowheads="1"/>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220" t="1220" r="1220" b="1220"/>
        <a:stretch/>
      </xdr:blipFill>
      <xdr:spPr bwMode="auto">
        <a:xfrm>
          <a:off x="466725" y="8467725"/>
          <a:ext cx="1548000" cy="15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342900</xdr:colOff>
      <xdr:row>35</xdr:row>
      <xdr:rowOff>95250</xdr:rowOff>
    </xdr:from>
    <xdr:to>
      <xdr:col>7</xdr:col>
      <xdr:colOff>62100</xdr:colOff>
      <xdr:row>43</xdr:row>
      <xdr:rowOff>119250</xdr:rowOff>
    </xdr:to>
    <xdr:pic>
      <xdr:nvPicPr>
        <xdr:cNvPr id="106" name="Picture 105" descr="http://vgbc.org.vn/wp-content/uploads/2016/10/phuc-khang.png">
          <a:hlinkClick xmlns:r="http://schemas.openxmlformats.org/officeDocument/2006/relationships" r:id="rId12"/>
        </xdr:cNvPr>
        <xdr:cNvPicPr>
          <a:picLocks noChangeAspect="1" noChangeArrowheads="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1220" t="1220" r="1220" b="1220"/>
        <a:stretch/>
      </xdr:blipFill>
      <xdr:spPr bwMode="auto">
        <a:xfrm>
          <a:off x="2514600" y="8477250"/>
          <a:ext cx="1548000" cy="15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104772</xdr:colOff>
      <xdr:row>63</xdr:row>
      <xdr:rowOff>19049</xdr:rowOff>
    </xdr:from>
    <xdr:to>
      <xdr:col>3</xdr:col>
      <xdr:colOff>230181</xdr:colOff>
      <xdr:row>69</xdr:row>
      <xdr:rowOff>167849</xdr:rowOff>
    </xdr:to>
    <xdr:pic>
      <xdr:nvPicPr>
        <xdr:cNvPr id="107" name="Picture 50" descr="http://vgbc.org.vn/wp-content/uploads/2016/10/vicostone-1.png">
          <a:hlinkClick xmlns:r="http://schemas.openxmlformats.org/officeDocument/2006/relationships" r:id="rId14"/>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1990" t="1967" r="1990" b="1967"/>
        <a:stretch>
          <a:fillRect/>
        </a:stretch>
      </xdr:blipFill>
      <xdr:spPr bwMode="auto">
        <a:xfrm>
          <a:off x="352422" y="13592174"/>
          <a:ext cx="1382709" cy="136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600074</xdr:colOff>
      <xdr:row>63</xdr:row>
      <xdr:rowOff>161924</xdr:rowOff>
    </xdr:from>
    <xdr:to>
      <xdr:col>5</xdr:col>
      <xdr:colOff>492086</xdr:colOff>
      <xdr:row>69</xdr:row>
      <xdr:rowOff>94724</xdr:rowOff>
    </xdr:to>
    <xdr:pic>
      <xdr:nvPicPr>
        <xdr:cNvPr id="108" name="Picture 51" descr="http://vgbc.org.vn/wp-content/uploads/2016/10/vilandco-1-e1476344593461.png">
          <a:hlinkClick xmlns:r="http://schemas.openxmlformats.org/officeDocument/2006/relationships" r:id="rId16"/>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l="1990" t="1967" r="1990" b="1967"/>
        <a:stretch>
          <a:fillRect/>
        </a:stretch>
      </xdr:blipFill>
      <xdr:spPr bwMode="auto">
        <a:xfrm>
          <a:off x="2105024" y="13735049"/>
          <a:ext cx="1168362"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104770</xdr:colOff>
      <xdr:row>47</xdr:row>
      <xdr:rowOff>0</xdr:rowOff>
    </xdr:from>
    <xdr:to>
      <xdr:col>2</xdr:col>
      <xdr:colOff>548680</xdr:colOff>
      <xdr:row>52</xdr:row>
      <xdr:rowOff>89400</xdr:rowOff>
    </xdr:to>
    <xdr:pic>
      <xdr:nvPicPr>
        <xdr:cNvPr id="109" name="Picture 43" descr="http://vgbc.org.vn/wp-content/uploads/2016/09/ACSC.png"/>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1990" t="1967" r="1990" b="1967"/>
        <a:stretch>
          <a:fillRect/>
        </a:stretch>
      </xdr:blipFill>
      <xdr:spPr bwMode="auto">
        <a:xfrm>
          <a:off x="352420" y="10525125"/>
          <a:ext cx="1091610" cy="104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342900</xdr:colOff>
      <xdr:row>46</xdr:row>
      <xdr:rowOff>66675</xdr:rowOff>
    </xdr:from>
    <xdr:to>
      <xdr:col>11</xdr:col>
      <xdr:colOff>183691</xdr:colOff>
      <xdr:row>52</xdr:row>
      <xdr:rowOff>149775</xdr:rowOff>
    </xdr:to>
    <xdr:pic>
      <xdr:nvPicPr>
        <xdr:cNvPr id="110" name="Picture 47" descr="http://vgbc.org.vn/wp-content/uploads/2016/10/bluescope-1.png">
          <a:hlinkClick xmlns:r="http://schemas.openxmlformats.org/officeDocument/2006/relationships" r:id="rId19"/>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l="1990" t="1967" r="1990" b="1967"/>
        <a:stretch>
          <a:fillRect/>
        </a:stretch>
      </xdr:blipFill>
      <xdr:spPr bwMode="auto">
        <a:xfrm>
          <a:off x="5562600" y="10439400"/>
          <a:ext cx="1231441"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200025</xdr:colOff>
      <xdr:row>51</xdr:row>
      <xdr:rowOff>57150</xdr:rowOff>
    </xdr:from>
    <xdr:to>
      <xdr:col>3</xdr:col>
      <xdr:colOff>174166</xdr:colOff>
      <xdr:row>57</xdr:row>
      <xdr:rowOff>102150</xdr:rowOff>
    </xdr:to>
    <xdr:pic>
      <xdr:nvPicPr>
        <xdr:cNvPr id="111" name="Picture 45" descr="http://vgbc.org.vn/wp-content/uploads/2016/10/green-viet.png">
          <a:hlinkClick xmlns:r="http://schemas.openxmlformats.org/officeDocument/2006/relationships" r:id="rId21"/>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l="1990" t="1967" r="1990" b="1967"/>
        <a:stretch>
          <a:fillRect/>
        </a:stretch>
      </xdr:blipFill>
      <xdr:spPr bwMode="auto">
        <a:xfrm>
          <a:off x="447675" y="11344275"/>
          <a:ext cx="1231441"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123825</xdr:colOff>
      <xdr:row>57</xdr:row>
      <xdr:rowOff>9524</xdr:rowOff>
    </xdr:from>
    <xdr:to>
      <xdr:col>3</xdr:col>
      <xdr:colOff>246695</xdr:colOff>
      <xdr:row>64</xdr:row>
      <xdr:rowOff>0</xdr:rowOff>
    </xdr:to>
    <xdr:pic>
      <xdr:nvPicPr>
        <xdr:cNvPr id="112" name="Picture 25" descr="http://vgbc.org.vn/wp-content/uploads/2016/09/Searefico.png">
          <a:hlinkClick xmlns:r="http://schemas.openxmlformats.org/officeDocument/2006/relationships" r:id="rId23"/>
        </xdr:cNvPr>
        <xdr:cNvPicPr>
          <a:picLocks noChangeAspect="1" noChangeArrowheads="1"/>
        </xdr:cNvPicPr>
      </xdr:nvPicPr>
      <xdr:blipFill rotWithShape="1">
        <a:blip xmlns:r="http://schemas.openxmlformats.org/officeDocument/2006/relationships" r:embed="rId24">
          <a:extLst>
            <a:ext uri="{28A0092B-C50C-407E-A947-70E740481C1C}">
              <a14:useLocalDpi xmlns:a14="http://schemas.microsoft.com/office/drawing/2010/main" val="0"/>
            </a:ext>
          </a:extLst>
        </a:blip>
        <a:srcRect l="858" t="842" r="858" b="4006"/>
        <a:stretch/>
      </xdr:blipFill>
      <xdr:spPr bwMode="auto">
        <a:xfrm>
          <a:off x="371475" y="12439649"/>
          <a:ext cx="1380170" cy="13239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552450</xdr:colOff>
      <xdr:row>57</xdr:row>
      <xdr:rowOff>171449</xdr:rowOff>
    </xdr:from>
    <xdr:to>
      <xdr:col>8</xdr:col>
      <xdr:colOff>386540</xdr:colOff>
      <xdr:row>63</xdr:row>
      <xdr:rowOff>72449</xdr:rowOff>
    </xdr:to>
    <xdr:pic>
      <xdr:nvPicPr>
        <xdr:cNvPr id="113" name="Picture 54" descr="http://vgbc.org.vn/wp-content/uploads/2016/10/spcc-e1476344764303.png">
          <a:hlinkClick xmlns:r="http://schemas.openxmlformats.org/officeDocument/2006/relationships" r:id="rId25"/>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1990" t="1967" r="1990" b="1967"/>
        <a:stretch>
          <a:fillRect/>
        </a:stretch>
      </xdr:blipFill>
      <xdr:spPr bwMode="auto">
        <a:xfrm>
          <a:off x="3943350" y="12601574"/>
          <a:ext cx="1053290" cy="10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619125</xdr:colOff>
      <xdr:row>57</xdr:row>
      <xdr:rowOff>104774</xdr:rowOff>
    </xdr:from>
    <xdr:to>
      <xdr:col>5</xdr:col>
      <xdr:colOff>468705</xdr:colOff>
      <xdr:row>63</xdr:row>
      <xdr:rowOff>77774</xdr:rowOff>
    </xdr:to>
    <xdr:pic>
      <xdr:nvPicPr>
        <xdr:cNvPr id="114" name="Picture 53" descr="http://vgbc.org.vn/wp-content/uploads/2016/10/sika-e1476344838533.png">
          <a:hlinkClick xmlns:r="http://schemas.openxmlformats.org/officeDocument/2006/relationships" r:id="rId27"/>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1990" t="1967" r="1990" b="1967"/>
        <a:stretch>
          <a:fillRect/>
        </a:stretch>
      </xdr:blipFill>
      <xdr:spPr bwMode="auto">
        <a:xfrm>
          <a:off x="2124075" y="12534899"/>
          <a:ext cx="1125930" cy="111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152399</xdr:colOff>
      <xdr:row>72</xdr:row>
      <xdr:rowOff>47624</xdr:rowOff>
    </xdr:from>
    <xdr:to>
      <xdr:col>2</xdr:col>
      <xdr:colOff>512699</xdr:colOff>
      <xdr:row>77</xdr:row>
      <xdr:rowOff>103124</xdr:rowOff>
    </xdr:to>
    <xdr:pic>
      <xdr:nvPicPr>
        <xdr:cNvPr id="115" name="Picture 7" descr="artelia">
          <a:hlinkClick xmlns:r="http://schemas.openxmlformats.org/officeDocument/2006/relationships" r:id="rId29"/>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2130" t="2139" r="2130" b="2139"/>
        <a:stretch>
          <a:fillRect/>
        </a:stretch>
      </xdr:blipFill>
      <xdr:spPr bwMode="auto">
        <a:xfrm>
          <a:off x="400049" y="15420974"/>
          <a:ext cx="1008000"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381000</xdr:colOff>
      <xdr:row>72</xdr:row>
      <xdr:rowOff>152399</xdr:rowOff>
    </xdr:from>
    <xdr:to>
      <xdr:col>4</xdr:col>
      <xdr:colOff>598128</xdr:colOff>
      <xdr:row>77</xdr:row>
      <xdr:rowOff>63899</xdr:rowOff>
    </xdr:to>
    <xdr:pic>
      <xdr:nvPicPr>
        <xdr:cNvPr id="116" name="Picture 69" descr="http://vgbc.org.vn/wp-content/uploads/2016/10/boydens-1-e1476344905983.png">
          <a:hlinkClick xmlns:r="http://schemas.openxmlformats.org/officeDocument/2006/relationships" r:id="rId31"/>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l="2359" t="2322" r="2359" b="2322"/>
        <a:stretch>
          <a:fillRect/>
        </a:stretch>
      </xdr:blipFill>
      <xdr:spPr bwMode="auto">
        <a:xfrm>
          <a:off x="1885950" y="15525749"/>
          <a:ext cx="883878"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514348</xdr:colOff>
      <xdr:row>72</xdr:row>
      <xdr:rowOff>95249</xdr:rowOff>
    </xdr:from>
    <xdr:to>
      <xdr:col>7</xdr:col>
      <xdr:colOff>332134</xdr:colOff>
      <xdr:row>77</xdr:row>
      <xdr:rowOff>150749</xdr:rowOff>
    </xdr:to>
    <xdr:pic>
      <xdr:nvPicPr>
        <xdr:cNvPr id="117" name="Picture 17" descr="http://vgbc.org.vn/wp-content/uploads/2017/03/bumatech.jpg">
          <a:hlinkClick xmlns:r="http://schemas.openxmlformats.org/officeDocument/2006/relationships" r:id="rId33"/>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l="858" t="842" r="858" b="842"/>
        <a:stretch>
          <a:fillRect/>
        </a:stretch>
      </xdr:blipFill>
      <xdr:spPr bwMode="auto">
        <a:xfrm>
          <a:off x="3295648" y="15468599"/>
          <a:ext cx="1036986"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152399</xdr:colOff>
      <xdr:row>72</xdr:row>
      <xdr:rowOff>142875</xdr:rowOff>
    </xdr:from>
    <xdr:to>
      <xdr:col>13</xdr:col>
      <xdr:colOff>417979</xdr:colOff>
      <xdr:row>77</xdr:row>
      <xdr:rowOff>54375</xdr:rowOff>
    </xdr:to>
    <xdr:pic>
      <xdr:nvPicPr>
        <xdr:cNvPr id="118" name="Picture 66" descr="http://vgbc.org.vn/wp-content/uploads/2016/10/grundfos-1.png">
          <a:hlinkClick xmlns:r="http://schemas.openxmlformats.org/officeDocument/2006/relationships" r:id="rId35"/>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l="2322" t="2359" r="2322" b="2359"/>
        <a:stretch>
          <a:fillRect/>
        </a:stretch>
      </xdr:blipFill>
      <xdr:spPr bwMode="auto">
        <a:xfrm>
          <a:off x="7372349" y="15516225"/>
          <a:ext cx="875180" cy="8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180974</xdr:colOff>
      <xdr:row>77</xdr:row>
      <xdr:rowOff>161925</xdr:rowOff>
    </xdr:from>
    <xdr:to>
      <xdr:col>2</xdr:col>
      <xdr:colOff>547691</xdr:colOff>
      <xdr:row>83</xdr:row>
      <xdr:rowOff>26925</xdr:rowOff>
    </xdr:to>
    <xdr:pic>
      <xdr:nvPicPr>
        <xdr:cNvPr id="119" name="Picture 48" descr="http://vgbc.org.vn/wp-content/uploads/2016/10/kone-e1476344870624.png">
          <a:hlinkClick xmlns:r="http://schemas.openxmlformats.org/officeDocument/2006/relationships" r:id="rId37"/>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l="1990" t="1967" r="1990" b="1967"/>
        <a:stretch>
          <a:fillRect/>
        </a:stretch>
      </xdr:blipFill>
      <xdr:spPr bwMode="auto">
        <a:xfrm>
          <a:off x="428624" y="16487775"/>
          <a:ext cx="1014417"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38100</xdr:colOff>
      <xdr:row>83</xdr:row>
      <xdr:rowOff>66675</xdr:rowOff>
    </xdr:from>
    <xdr:to>
      <xdr:col>7</xdr:col>
      <xdr:colOff>220500</xdr:colOff>
      <xdr:row>87</xdr:row>
      <xdr:rowOff>90474</xdr:rowOff>
    </xdr:to>
    <xdr:pic>
      <xdr:nvPicPr>
        <xdr:cNvPr id="120" name="Picture 68" descr="http://vgbc.org.vn/wp-content/uploads/2016/12/SHING-DA.png"/>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l="2322" t="2359" r="2322" b="2359"/>
        <a:stretch>
          <a:fillRect/>
        </a:stretch>
      </xdr:blipFill>
      <xdr:spPr bwMode="auto">
        <a:xfrm>
          <a:off x="3429000" y="17535525"/>
          <a:ext cx="792000" cy="7857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314323</xdr:colOff>
      <xdr:row>77</xdr:row>
      <xdr:rowOff>180975</xdr:rowOff>
    </xdr:from>
    <xdr:to>
      <xdr:col>5</xdr:col>
      <xdr:colOff>52389</xdr:colOff>
      <xdr:row>83</xdr:row>
      <xdr:rowOff>45975</xdr:rowOff>
    </xdr:to>
    <xdr:pic>
      <xdr:nvPicPr>
        <xdr:cNvPr id="121" name="Picture 67" descr="http://vgbc.org.vn/wp-content/uploads/2016/10/pce-e1476345277864.png">
          <a:hlinkClick xmlns:r="http://schemas.openxmlformats.org/officeDocument/2006/relationships" r:id="rId40"/>
        </xdr:cNvPr>
        <xdr:cNvPicPr>
          <a:picLocks noChangeAspect="1" noChangeArrowheads="1"/>
        </xdr:cNvPicPr>
      </xdr:nvPicPr>
      <xdr:blipFill>
        <a:blip xmlns:r="http://schemas.openxmlformats.org/officeDocument/2006/relationships" r:embed="rId41">
          <a:extLst>
            <a:ext uri="{28A0092B-C50C-407E-A947-70E740481C1C}">
              <a14:useLocalDpi xmlns:a14="http://schemas.microsoft.com/office/drawing/2010/main" val="0"/>
            </a:ext>
          </a:extLst>
        </a:blip>
        <a:srcRect l="2322" t="2359" r="2322" b="2359"/>
        <a:stretch>
          <a:fillRect/>
        </a:stretch>
      </xdr:blipFill>
      <xdr:spPr bwMode="auto">
        <a:xfrm>
          <a:off x="1819273" y="16506825"/>
          <a:ext cx="1014416"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495297</xdr:colOff>
      <xdr:row>77</xdr:row>
      <xdr:rowOff>142875</xdr:rowOff>
    </xdr:from>
    <xdr:to>
      <xdr:col>7</xdr:col>
      <xdr:colOff>378566</xdr:colOff>
      <xdr:row>82</xdr:row>
      <xdr:rowOff>171450</xdr:rowOff>
    </xdr:to>
    <xdr:pic>
      <xdr:nvPicPr>
        <xdr:cNvPr id="122" name="Picture 38" descr="http://vgbc.org.vn/wp-content/uploads/2017/03/PGF_logo.png">
          <a:hlinkClick xmlns:r="http://schemas.openxmlformats.org/officeDocument/2006/relationships" r:id="rId42"/>
        </xdr:cNvPr>
        <xdr:cNvPicPr>
          <a:picLocks noChangeAspect="1" noChangeArrowheads="1"/>
        </xdr:cNvPicPr>
      </xdr:nvPicPr>
      <xdr:blipFill rotWithShape="1">
        <a:blip xmlns:r="http://schemas.openxmlformats.org/officeDocument/2006/relationships" r:embed="rId43">
          <a:extLst>
            <a:ext uri="{28A0092B-C50C-407E-A947-70E740481C1C}">
              <a14:useLocalDpi xmlns:a14="http://schemas.microsoft.com/office/drawing/2010/main" val="0"/>
            </a:ext>
          </a:extLst>
        </a:blip>
        <a:srcRect l="1585" t="1599" r="1585" b="10466"/>
        <a:stretch/>
      </xdr:blipFill>
      <xdr:spPr bwMode="auto">
        <a:xfrm>
          <a:off x="3276597" y="16468725"/>
          <a:ext cx="1102469"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95250</xdr:colOff>
      <xdr:row>78</xdr:row>
      <xdr:rowOff>19050</xdr:rowOff>
    </xdr:from>
    <xdr:to>
      <xdr:col>9</xdr:col>
      <xdr:colOff>457650</xdr:colOff>
      <xdr:row>83</xdr:row>
      <xdr:rowOff>38550</xdr:rowOff>
    </xdr:to>
    <xdr:pic>
      <xdr:nvPicPr>
        <xdr:cNvPr id="123" name="Picture 122" descr="http://vgbc.org.vn/wp-content/uploads/2017/04/PTW.jpg">
          <a:hlinkClick xmlns:r="http://schemas.openxmlformats.org/officeDocument/2006/relationships" r:id="rId44"/>
        </xdr:cNvPr>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2174" t="2174" r="2174" b="2174"/>
        <a:stretch/>
      </xdr:blipFill>
      <xdr:spPr bwMode="auto">
        <a:xfrm>
          <a:off x="4705350" y="16535400"/>
          <a:ext cx="972000" cy="9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180975</xdr:colOff>
      <xdr:row>82</xdr:row>
      <xdr:rowOff>114300</xdr:rowOff>
    </xdr:from>
    <xdr:to>
      <xdr:col>2</xdr:col>
      <xdr:colOff>541275</xdr:colOff>
      <xdr:row>87</xdr:row>
      <xdr:rowOff>169800</xdr:rowOff>
    </xdr:to>
    <xdr:pic>
      <xdr:nvPicPr>
        <xdr:cNvPr id="124" name="Picture 123" descr="http://vgbc.org.vn/wp-content/uploads/2017/04/tanphatlong.jpg">
          <a:hlinkClick xmlns:r="http://schemas.openxmlformats.org/officeDocument/2006/relationships" r:id="rId46"/>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2174" t="2174" r="2174" b="2174"/>
        <a:stretch/>
      </xdr:blipFill>
      <xdr:spPr bwMode="auto">
        <a:xfrm>
          <a:off x="428625" y="17392650"/>
          <a:ext cx="1008000"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333375</xdr:colOff>
      <xdr:row>57</xdr:row>
      <xdr:rowOff>85725</xdr:rowOff>
    </xdr:from>
    <xdr:to>
      <xdr:col>11</xdr:col>
      <xdr:colOff>202725</xdr:colOff>
      <xdr:row>64</xdr:row>
      <xdr:rowOff>12225</xdr:rowOff>
    </xdr:to>
    <xdr:pic>
      <xdr:nvPicPr>
        <xdr:cNvPr id="125" name="Picture 52" descr="http://vgbc.org.vn/wp-content/uploads/2016/10/trane-e1476344986148.png">
          <a:hlinkClick xmlns:r="http://schemas.openxmlformats.org/officeDocument/2006/relationships" r:id="rId48"/>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l="1990" t="1967" r="1990" b="1967"/>
        <a:stretch>
          <a:fillRect/>
        </a:stretch>
      </xdr:blipFill>
      <xdr:spPr bwMode="auto">
        <a:xfrm>
          <a:off x="5553075" y="12515850"/>
          <a:ext cx="126000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542926</xdr:colOff>
      <xdr:row>58</xdr:row>
      <xdr:rowOff>9524</xdr:rowOff>
    </xdr:from>
    <xdr:to>
      <xdr:col>13</xdr:col>
      <xdr:colOff>378952</xdr:colOff>
      <xdr:row>63</xdr:row>
      <xdr:rowOff>101024</xdr:rowOff>
    </xdr:to>
    <xdr:pic>
      <xdr:nvPicPr>
        <xdr:cNvPr id="126" name="Picture 55" descr="http://vgbc.org.vn/wp-content/uploads/2016/10/undp-e1476344646547.png">
          <a:hlinkClick xmlns:r="http://schemas.openxmlformats.org/officeDocument/2006/relationships" r:id="rId50"/>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l="1990" t="1967" r="1990" b="1967"/>
        <a:stretch>
          <a:fillRect/>
        </a:stretch>
      </xdr:blipFill>
      <xdr:spPr bwMode="auto">
        <a:xfrm>
          <a:off x="7153276" y="12630149"/>
          <a:ext cx="1055226" cy="104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133345</xdr:colOff>
      <xdr:row>46</xdr:row>
      <xdr:rowOff>9525</xdr:rowOff>
    </xdr:from>
    <xdr:to>
      <xdr:col>3</xdr:col>
      <xdr:colOff>120727</xdr:colOff>
      <xdr:row>52</xdr:row>
      <xdr:rowOff>92625</xdr:rowOff>
    </xdr:to>
    <xdr:pic>
      <xdr:nvPicPr>
        <xdr:cNvPr id="127" name="Picture 43" descr="http://vgbc.org.vn/wp-content/uploads/2016/09/ACSC.png">
          <a:hlinkClick xmlns:r="http://schemas.openxmlformats.org/officeDocument/2006/relationships" r:id="rId52"/>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l="1990" t="1967" r="1990" b="1967"/>
        <a:stretch>
          <a:fillRect/>
        </a:stretch>
      </xdr:blipFill>
      <xdr:spPr bwMode="auto">
        <a:xfrm>
          <a:off x="380995" y="10382250"/>
          <a:ext cx="1244682"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561975</xdr:colOff>
      <xdr:row>46</xdr:row>
      <xdr:rowOff>19050</xdr:rowOff>
    </xdr:from>
    <xdr:to>
      <xdr:col>5</xdr:col>
      <xdr:colOff>517066</xdr:colOff>
      <xdr:row>52</xdr:row>
      <xdr:rowOff>102150</xdr:rowOff>
    </xdr:to>
    <xdr:pic>
      <xdr:nvPicPr>
        <xdr:cNvPr id="128" name="Picture 46" descr="http://vgbc.org.vn/wp-content/uploads/2016/10/basf.png">
          <a:hlinkClick xmlns:r="http://schemas.openxmlformats.org/officeDocument/2006/relationships" r:id="rId53"/>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l="1990" t="1967" r="1990" b="1967"/>
        <a:stretch>
          <a:fillRect/>
        </a:stretch>
      </xdr:blipFill>
      <xdr:spPr bwMode="auto">
        <a:xfrm>
          <a:off x="2066925" y="10391775"/>
          <a:ext cx="1231441" cy="118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657225</xdr:colOff>
      <xdr:row>51</xdr:row>
      <xdr:rowOff>190499</xdr:rowOff>
    </xdr:from>
    <xdr:to>
      <xdr:col>5</xdr:col>
      <xdr:colOff>361525</xdr:colOff>
      <xdr:row>57</xdr:row>
      <xdr:rowOff>19499</xdr:rowOff>
    </xdr:to>
    <xdr:pic>
      <xdr:nvPicPr>
        <xdr:cNvPr id="129" name="Picture 40" descr="http://vgbc.org.vn/wp-content/uploads/2016/10/ies-e1476344408984.png">
          <a:hlinkClick xmlns:r="http://schemas.openxmlformats.org/officeDocument/2006/relationships" r:id="rId55"/>
        </xdr:cNvPr>
        <xdr:cNvPicPr>
          <a:picLocks noChangeAspect="1" noChangeArrowheads="1"/>
        </xdr:cNvPicPr>
      </xdr:nvPicPr>
      <xdr:blipFill>
        <a:blip xmlns:r="http://schemas.openxmlformats.org/officeDocument/2006/relationships" r:embed="rId56" cstate="print">
          <a:extLst>
            <a:ext uri="{28A0092B-C50C-407E-A947-70E740481C1C}">
              <a14:useLocalDpi xmlns:a14="http://schemas.microsoft.com/office/drawing/2010/main" val="0"/>
            </a:ext>
          </a:extLst>
        </a:blip>
        <a:srcRect l="1990" t="1967" r="1990" b="1967"/>
        <a:stretch>
          <a:fillRect/>
        </a:stretch>
      </xdr:blipFill>
      <xdr:spPr bwMode="auto">
        <a:xfrm>
          <a:off x="2162175" y="11477624"/>
          <a:ext cx="980650" cy="9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352425</xdr:colOff>
      <xdr:row>51</xdr:row>
      <xdr:rowOff>180974</xdr:rowOff>
    </xdr:from>
    <xdr:to>
      <xdr:col>11</xdr:col>
      <xdr:colOff>124025</xdr:colOff>
      <xdr:row>57</xdr:row>
      <xdr:rowOff>189974</xdr:rowOff>
    </xdr:to>
    <xdr:pic>
      <xdr:nvPicPr>
        <xdr:cNvPr id="130" name="Picture 41" descr="http://vgbc.org.vn/wp-content/uploads/2016/10/ree.png">
          <a:hlinkClick xmlns:r="http://schemas.openxmlformats.org/officeDocument/2006/relationships" r:id="rId57"/>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l="1990" t="1967" r="1990" b="1967"/>
        <a:stretch>
          <a:fillRect/>
        </a:stretch>
      </xdr:blipFill>
      <xdr:spPr bwMode="auto">
        <a:xfrm>
          <a:off x="5572125" y="11468099"/>
          <a:ext cx="1162250" cy="115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323850</xdr:colOff>
      <xdr:row>51</xdr:row>
      <xdr:rowOff>95249</xdr:rowOff>
    </xdr:from>
    <xdr:to>
      <xdr:col>13</xdr:col>
      <xdr:colOff>484820</xdr:colOff>
      <xdr:row>58</xdr:row>
      <xdr:rowOff>21749</xdr:rowOff>
    </xdr:to>
    <xdr:pic>
      <xdr:nvPicPr>
        <xdr:cNvPr id="131" name="Picture 27" descr="http://vgbc.org.vn/wp-content/uploads/2016/10/royal-haskoningDHV.png">
          <a:hlinkClick xmlns:r="http://schemas.openxmlformats.org/officeDocument/2006/relationships" r:id="rId59"/>
        </xdr:cNvPr>
        <xdr:cNvPicPr>
          <a:picLocks noChangeAspect="1" noChangeArrowheads="1"/>
        </xdr:cNvPicPr>
      </xdr:nvPicPr>
      <xdr:blipFill rotWithShape="1">
        <a:blip xmlns:r="http://schemas.openxmlformats.org/officeDocument/2006/relationships" r:embed="rId60">
          <a:extLst>
            <a:ext uri="{28A0092B-C50C-407E-A947-70E740481C1C}">
              <a14:useLocalDpi xmlns:a14="http://schemas.microsoft.com/office/drawing/2010/main" val="0"/>
            </a:ext>
          </a:extLst>
        </a:blip>
        <a:srcRect l="858" t="4722" r="858" b="4722"/>
        <a:stretch/>
      </xdr:blipFill>
      <xdr:spPr bwMode="auto">
        <a:xfrm>
          <a:off x="6934200" y="11382374"/>
          <a:ext cx="1380170" cy="126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209550</xdr:colOff>
      <xdr:row>78</xdr:row>
      <xdr:rowOff>28575</xdr:rowOff>
    </xdr:from>
    <xdr:to>
      <xdr:col>11</xdr:col>
      <xdr:colOff>436500</xdr:colOff>
      <xdr:row>83</xdr:row>
      <xdr:rowOff>84075</xdr:rowOff>
    </xdr:to>
    <xdr:pic>
      <xdr:nvPicPr>
        <xdr:cNvPr id="132" name="Picture 131" descr="http://vgbc.org.vn/wp-content/uploads/2017/04/Seas-Consultants.png">
          <a:hlinkClick xmlns:r="http://schemas.openxmlformats.org/officeDocument/2006/relationships" r:id="rId61"/>
        </xdr:cNvPr>
        <xdr:cNvPicPr>
          <a:picLocks noChangeAspect="1" noChangeArrowheads="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l="865" t="865" r="865" b="865"/>
        <a:stretch/>
      </xdr:blipFill>
      <xdr:spPr bwMode="auto">
        <a:xfrm>
          <a:off x="6038850" y="16544925"/>
          <a:ext cx="1008000" cy="100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295274</xdr:colOff>
      <xdr:row>52</xdr:row>
      <xdr:rowOff>0</xdr:rowOff>
    </xdr:from>
    <xdr:to>
      <xdr:col>8</xdr:col>
      <xdr:colOff>573834</xdr:colOff>
      <xdr:row>57</xdr:row>
      <xdr:rowOff>163500</xdr:rowOff>
    </xdr:to>
    <xdr:pic>
      <xdr:nvPicPr>
        <xdr:cNvPr id="133" name="Picture 132" descr="http://vgbc.org.vn/wp-content/uploads/2017/05/SiamCityCement.jpg"/>
        <xdr:cNvPicPr>
          <a:picLocks noChangeAspect="1"/>
        </xdr:cNvPicPr>
      </xdr:nvPicPr>
      <xdr:blipFill rotWithShape="1">
        <a:blip xmlns:r="http://schemas.openxmlformats.org/officeDocument/2006/relationships" r:embed="rId63">
          <a:extLst>
            <a:ext uri="{28A0092B-C50C-407E-A947-70E740481C1C}">
              <a14:useLocalDpi xmlns:a14="http://schemas.microsoft.com/office/drawing/2010/main" val="0"/>
            </a:ext>
          </a:extLst>
        </a:blip>
        <a:srcRect l="856" t="13383" r="856" b="13383"/>
        <a:stretch/>
      </xdr:blipFill>
      <xdr:spPr bwMode="auto">
        <a:xfrm>
          <a:off x="3686174" y="11477625"/>
          <a:ext cx="1497760" cy="1116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11</xdr:col>
      <xdr:colOff>476251</xdr:colOff>
      <xdr:row>46</xdr:row>
      <xdr:rowOff>28574</xdr:rowOff>
    </xdr:from>
    <xdr:to>
      <xdr:col>13</xdr:col>
      <xdr:colOff>444212</xdr:colOff>
      <xdr:row>51</xdr:row>
      <xdr:rowOff>187874</xdr:rowOff>
    </xdr:to>
    <xdr:pic>
      <xdr:nvPicPr>
        <xdr:cNvPr id="134" name="Picture 133" descr="http://vgbc.org.vn/wp-content/uploads/2016/10/carrier-1-e1476344799934.png"/>
        <xdr:cNvPicPr>
          <a:picLocks noChangeAspect="1"/>
        </xdr:cNvPicPr>
      </xdr:nvPicPr>
      <xdr:blipFill rotWithShape="1">
        <a:blip xmlns:r="http://schemas.openxmlformats.org/officeDocument/2006/relationships" r:embed="rId64" cstate="print">
          <a:extLst>
            <a:ext uri="{28A0092B-C50C-407E-A947-70E740481C1C}">
              <a14:useLocalDpi xmlns:a14="http://schemas.microsoft.com/office/drawing/2010/main" val="0"/>
            </a:ext>
          </a:extLst>
        </a:blip>
        <a:srcRect l="856" t="843" r="856" b="843"/>
        <a:stretch/>
      </xdr:blipFill>
      <xdr:spPr bwMode="auto">
        <a:xfrm>
          <a:off x="7086601" y="10401299"/>
          <a:ext cx="1187161" cy="1111800"/>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161925</xdr:colOff>
      <xdr:row>72</xdr:row>
      <xdr:rowOff>114300</xdr:rowOff>
    </xdr:from>
    <xdr:to>
      <xdr:col>11</xdr:col>
      <xdr:colOff>460875</xdr:colOff>
      <xdr:row>78</xdr:row>
      <xdr:rowOff>13200</xdr:rowOff>
    </xdr:to>
    <xdr:pic>
      <xdr:nvPicPr>
        <xdr:cNvPr id="135" name="Picture 39" descr="http://vgbc.org.vn/wp-content/uploads/2016/10/hongkong-land-e1476344339688.png">
          <a:hlinkClick xmlns:r="http://schemas.openxmlformats.org/officeDocument/2006/relationships" r:id="rId65"/>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l="1990" t="1967" r="1990" b="1967"/>
        <a:stretch>
          <a:fillRect/>
        </a:stretch>
      </xdr:blipFill>
      <xdr:spPr bwMode="auto">
        <a:xfrm>
          <a:off x="5991225" y="15487650"/>
          <a:ext cx="1080000" cy="1041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523875</xdr:colOff>
      <xdr:row>46</xdr:row>
      <xdr:rowOff>66674</xdr:rowOff>
    </xdr:from>
    <xdr:to>
      <xdr:col>8</xdr:col>
      <xdr:colOff>456675</xdr:colOff>
      <xdr:row>52</xdr:row>
      <xdr:rowOff>37574</xdr:rowOff>
    </xdr:to>
    <xdr:pic>
      <xdr:nvPicPr>
        <xdr:cNvPr id="136" name="Picture 135" descr="http://vgbc.org.vn/wp-content/uploads/2016/09/belimo.jpg"/>
        <xdr:cNvPicPr/>
      </xdr:nvPicPr>
      <xdr:blipFill rotWithShape="1">
        <a:blip xmlns:r="http://schemas.openxmlformats.org/officeDocument/2006/relationships" r:embed="rId67" cstate="print">
          <a:extLst>
            <a:ext uri="{28A0092B-C50C-407E-A947-70E740481C1C}">
              <a14:useLocalDpi xmlns:a14="http://schemas.microsoft.com/office/drawing/2010/main" val="0"/>
            </a:ext>
          </a:extLst>
        </a:blip>
        <a:srcRect l="856" t="843" r="856" b="843"/>
        <a:stretch/>
      </xdr:blipFill>
      <xdr:spPr bwMode="auto">
        <a:xfrm>
          <a:off x="3914775" y="10439399"/>
          <a:ext cx="1152000" cy="11139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8</xdr:col>
      <xdr:colOff>57150</xdr:colOff>
      <xdr:row>72</xdr:row>
      <xdr:rowOff>161924</xdr:rowOff>
    </xdr:from>
    <xdr:to>
      <xdr:col>9</xdr:col>
      <xdr:colOff>455550</xdr:colOff>
      <xdr:row>78</xdr:row>
      <xdr:rowOff>26924</xdr:rowOff>
    </xdr:to>
    <xdr:pic>
      <xdr:nvPicPr>
        <xdr:cNvPr id="137" name="Picture 136" descr="http://vgbc.org.vn/wp-content/uploads/2017/05/Fico-Pan.jpg">
          <a:hlinkClick xmlns:r="http://schemas.openxmlformats.org/officeDocument/2006/relationships" r:id="rId68"/>
        </xdr:cNvPr>
        <xdr:cNvPicPr/>
      </xdr:nvPicPr>
      <xdr:blipFill rotWithShape="1">
        <a:blip xmlns:r="http://schemas.openxmlformats.org/officeDocument/2006/relationships" r:embed="rId69" cstate="print">
          <a:extLst>
            <a:ext uri="{28A0092B-C50C-407E-A947-70E740481C1C}">
              <a14:useLocalDpi xmlns:a14="http://schemas.microsoft.com/office/drawing/2010/main" val="0"/>
            </a:ext>
          </a:extLst>
        </a:blip>
        <a:srcRect l="2262" t="2241" r="2262" b="2241"/>
        <a:stretch/>
      </xdr:blipFill>
      <xdr:spPr bwMode="auto">
        <a:xfrm>
          <a:off x="4667250" y="15535274"/>
          <a:ext cx="1008000" cy="1008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12</xdr:col>
      <xdr:colOff>66675</xdr:colOff>
      <xdr:row>77</xdr:row>
      <xdr:rowOff>171449</xdr:rowOff>
    </xdr:from>
    <xdr:to>
      <xdr:col>13</xdr:col>
      <xdr:colOff>465075</xdr:colOff>
      <xdr:row>83</xdr:row>
      <xdr:rowOff>36449</xdr:rowOff>
    </xdr:to>
    <xdr:pic>
      <xdr:nvPicPr>
        <xdr:cNvPr id="138" name="Picture 137" descr="http://vgbc.org.vn/wp-content/uploads/2017/05/SOLASIA.jpg"/>
        <xdr:cNvPicPr/>
      </xdr:nvPicPr>
      <xdr:blipFill rotWithShape="1">
        <a:blip xmlns:r="http://schemas.openxmlformats.org/officeDocument/2006/relationships" r:embed="rId70" cstate="print">
          <a:extLst>
            <a:ext uri="{28A0092B-C50C-407E-A947-70E740481C1C}">
              <a14:useLocalDpi xmlns:a14="http://schemas.microsoft.com/office/drawing/2010/main" val="0"/>
            </a:ext>
          </a:extLst>
        </a:blip>
        <a:srcRect l="870" t="855" r="870" b="855"/>
        <a:stretch/>
      </xdr:blipFill>
      <xdr:spPr bwMode="auto">
        <a:xfrm>
          <a:off x="7286625" y="16497299"/>
          <a:ext cx="1008000" cy="1008000"/>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3</xdr:col>
      <xdr:colOff>333375</xdr:colOff>
      <xdr:row>82</xdr:row>
      <xdr:rowOff>142874</xdr:rowOff>
    </xdr:from>
    <xdr:to>
      <xdr:col>5</xdr:col>
      <xdr:colOff>65025</xdr:colOff>
      <xdr:row>87</xdr:row>
      <xdr:rowOff>133350</xdr:rowOff>
    </xdr:to>
    <xdr:pic>
      <xdr:nvPicPr>
        <xdr:cNvPr id="43" name="Picture 42" descr="http://vgbc.org.vn/wp-content/uploads/2016/09/TEKCOM.jpg">
          <a:hlinkClick xmlns:r="http://schemas.openxmlformats.org/officeDocument/2006/relationships" r:id="rId71"/>
        </xdr:cNvPr>
        <xdr:cNvPicPr/>
      </xdr:nvPicPr>
      <xdr:blipFill rotWithShape="1">
        <a:blip xmlns:r="http://schemas.openxmlformats.org/officeDocument/2006/relationships" r:embed="rId72" cstate="print">
          <a:extLst>
            <a:ext uri="{28A0092B-C50C-407E-A947-70E740481C1C}">
              <a14:useLocalDpi xmlns:a14="http://schemas.microsoft.com/office/drawing/2010/main" val="0"/>
            </a:ext>
          </a:extLst>
        </a:blip>
        <a:srcRect l="844" t="830" r="844" b="7174"/>
        <a:stretch/>
      </xdr:blipFill>
      <xdr:spPr bwMode="auto">
        <a:xfrm>
          <a:off x="1838325" y="17421224"/>
          <a:ext cx="1008000" cy="942976"/>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104775</xdr:colOff>
      <xdr:row>1</xdr:row>
      <xdr:rowOff>114300</xdr:rowOff>
    </xdr:from>
    <xdr:to>
      <xdr:col>2</xdr:col>
      <xdr:colOff>883650</xdr:colOff>
      <xdr:row>3</xdr:row>
      <xdr:rowOff>57300</xdr:rowOff>
    </xdr:to>
    <xdr:sp macro="" textlink="">
      <xdr:nvSpPr>
        <xdr:cNvPr id="2" name="Rectangle à coins arrondis 2">
          <a:hlinkClick xmlns:r="http://schemas.openxmlformats.org/officeDocument/2006/relationships" r:id="rId1" tooltip="Back to Energy"/>
        </xdr:cNvPr>
        <xdr:cNvSpPr>
          <a:spLocks noChangeArrowheads="1"/>
        </xdr:cNvSpPr>
      </xdr:nvSpPr>
      <xdr:spPr bwMode="auto">
        <a:xfrm>
          <a:off x="381000" y="438150"/>
          <a:ext cx="216000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1343025</xdr:colOff>
      <xdr:row>1</xdr:row>
      <xdr:rowOff>114300</xdr:rowOff>
    </xdr:from>
    <xdr:to>
      <xdr:col>4</xdr:col>
      <xdr:colOff>740775</xdr:colOff>
      <xdr:row>3</xdr:row>
      <xdr:rowOff>57300</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000375" y="43815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66675</xdr:colOff>
      <xdr:row>17</xdr:row>
      <xdr:rowOff>142875</xdr:rowOff>
    </xdr:from>
    <xdr:to>
      <xdr:col>1</xdr:col>
      <xdr:colOff>570675</xdr:colOff>
      <xdr:row>20</xdr:row>
      <xdr:rowOff>75375</xdr:rowOff>
    </xdr:to>
    <xdr:pic>
      <xdr:nvPicPr>
        <xdr:cNvPr id="6"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2900" y="3943350"/>
          <a:ext cx="504000" cy="504000"/>
        </a:xfrm>
        <a:prstGeom prst="rect">
          <a:avLst/>
        </a:prstGeom>
      </xdr:spPr>
    </xdr:pic>
    <xdr:clientData/>
  </xdr:twoCellAnchor>
  <xdr:oneCellAnchor>
    <xdr:from>
      <xdr:col>1</xdr:col>
      <xdr:colOff>0</xdr:colOff>
      <xdr:row>14</xdr:row>
      <xdr:rowOff>66675</xdr:rowOff>
    </xdr:from>
    <xdr:ext cx="401641" cy="396000"/>
    <xdr:pic>
      <xdr:nvPicPr>
        <xdr:cNvPr id="13" name="Picture 1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3143250"/>
          <a:ext cx="401641" cy="396000"/>
        </a:xfrm>
        <a:prstGeom prst="rect">
          <a:avLst/>
        </a:prstGeom>
      </xdr:spPr>
    </xdr:pic>
    <xdr:clientData/>
  </xdr:oneCellAnchor>
  <xdr:twoCellAnchor editAs="oneCell">
    <xdr:from>
      <xdr:col>1</xdr:col>
      <xdr:colOff>28575</xdr:colOff>
      <xdr:row>21</xdr:row>
      <xdr:rowOff>161925</xdr:rowOff>
    </xdr:from>
    <xdr:to>
      <xdr:col>1</xdr:col>
      <xdr:colOff>388575</xdr:colOff>
      <xdr:row>23</xdr:row>
      <xdr:rowOff>93300</xdr:rowOff>
    </xdr:to>
    <xdr:pic>
      <xdr:nvPicPr>
        <xdr:cNvPr id="8" name="Picture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4800" y="4533900"/>
          <a:ext cx="360000" cy="360000"/>
        </a:xfrm>
        <a:prstGeom prst="rect">
          <a:avLst/>
        </a:prstGeom>
      </xdr:spPr>
    </xdr:pic>
    <xdr:clientData/>
  </xdr:twoCellAnchor>
  <xdr:twoCellAnchor>
    <xdr:from>
      <xdr:col>6</xdr:col>
      <xdr:colOff>561975</xdr:colOff>
      <xdr:row>1</xdr:row>
      <xdr:rowOff>95250</xdr:rowOff>
    </xdr:from>
    <xdr:to>
      <xdr:col>6</xdr:col>
      <xdr:colOff>1009650</xdr:colOff>
      <xdr:row>3</xdr:row>
      <xdr:rowOff>66675</xdr:rowOff>
    </xdr:to>
    <xdr:sp macro="" textlink="">
      <xdr:nvSpPr>
        <xdr:cNvPr id="15" name="Up Arrow 14">
          <a:hlinkClick xmlns:r="http://schemas.openxmlformats.org/officeDocument/2006/relationships" r:id="rId6" tooltip="Back to top"/>
        </xdr:cNvPr>
        <xdr:cNvSpPr/>
      </xdr:nvSpPr>
      <xdr:spPr>
        <a:xfrm>
          <a:off x="7610475" y="419100"/>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285750</xdr:colOff>
      <xdr:row>1</xdr:row>
      <xdr:rowOff>114300</xdr:rowOff>
    </xdr:from>
    <xdr:to>
      <xdr:col>2</xdr:col>
      <xdr:colOff>380775</xdr:colOff>
      <xdr:row>3</xdr:row>
      <xdr:rowOff>57300</xdr:rowOff>
    </xdr:to>
    <xdr:sp macro="" textlink="">
      <xdr:nvSpPr>
        <xdr:cNvPr id="2" name="Rectangle à coins arrondis 2">
          <a:hlinkClick xmlns:r="http://schemas.openxmlformats.org/officeDocument/2006/relationships" r:id="rId1" tooltip="Back to Energy"/>
        </xdr:cNvPr>
        <xdr:cNvSpPr>
          <a:spLocks noChangeArrowheads="1"/>
        </xdr:cNvSpPr>
      </xdr:nvSpPr>
      <xdr:spPr bwMode="auto">
        <a:xfrm>
          <a:off x="285750" y="438150"/>
          <a:ext cx="1780950" cy="324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Energy</a:t>
          </a:r>
        </a:p>
      </xdr:txBody>
    </xdr:sp>
    <xdr:clientData/>
  </xdr:twoCellAnchor>
  <xdr:twoCellAnchor>
    <xdr:from>
      <xdr:col>2</xdr:col>
      <xdr:colOff>781050</xdr:colOff>
      <xdr:row>1</xdr:row>
      <xdr:rowOff>114300</xdr:rowOff>
    </xdr:from>
    <xdr:to>
      <xdr:col>3</xdr:col>
      <xdr:colOff>1199925</xdr:colOff>
      <xdr:row>3</xdr:row>
      <xdr:rowOff>57300</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2466975" y="438150"/>
          <a:ext cx="180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266700</xdr:colOff>
      <xdr:row>1</xdr:row>
      <xdr:rowOff>142875</xdr:rowOff>
    </xdr:from>
    <xdr:to>
      <xdr:col>4</xdr:col>
      <xdr:colOff>1274700</xdr:colOff>
      <xdr:row>3</xdr:row>
      <xdr:rowOff>49875</xdr:rowOff>
    </xdr:to>
    <xdr:sp macro="" textlink="">
      <xdr:nvSpPr>
        <xdr:cNvPr id="9" name="Rectangle à coins arrondis 2">
          <a:hlinkClick xmlns:r="http://schemas.openxmlformats.org/officeDocument/2006/relationships" r:id="rId3" tooltip="E-BPC-1"/>
        </xdr:cNvPr>
        <xdr:cNvSpPr>
          <a:spLocks noChangeArrowheads="1"/>
        </xdr:cNvSpPr>
      </xdr:nvSpPr>
      <xdr:spPr bwMode="auto">
        <a:xfrm>
          <a:off x="4714875" y="466725"/>
          <a:ext cx="1008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E-BPC-1</a:t>
          </a:r>
        </a:p>
      </xdr:txBody>
    </xdr:sp>
    <xdr:clientData/>
  </xdr:twoCellAnchor>
  <xdr:twoCellAnchor>
    <xdr:from>
      <xdr:col>4</xdr:col>
      <xdr:colOff>1400175</xdr:colOff>
      <xdr:row>1</xdr:row>
      <xdr:rowOff>142875</xdr:rowOff>
    </xdr:from>
    <xdr:to>
      <xdr:col>5</xdr:col>
      <xdr:colOff>950850</xdr:colOff>
      <xdr:row>3</xdr:row>
      <xdr:rowOff>49875</xdr:rowOff>
    </xdr:to>
    <xdr:sp macro="" textlink="">
      <xdr:nvSpPr>
        <xdr:cNvPr id="10" name="Rectangle à coins arrondis 2">
          <a:hlinkClick xmlns:r="http://schemas.openxmlformats.org/officeDocument/2006/relationships" r:id="rId4" tooltip="E-BPC-2"/>
        </xdr:cNvPr>
        <xdr:cNvSpPr>
          <a:spLocks noChangeArrowheads="1"/>
        </xdr:cNvSpPr>
      </xdr:nvSpPr>
      <xdr:spPr bwMode="auto">
        <a:xfrm>
          <a:off x="5848350" y="466725"/>
          <a:ext cx="1008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E-BPC-2</a:t>
          </a:r>
        </a:p>
      </xdr:txBody>
    </xdr:sp>
    <xdr:clientData/>
  </xdr:twoCellAnchor>
  <xdr:twoCellAnchor>
    <xdr:from>
      <xdr:col>5</xdr:col>
      <xdr:colOff>1057275</xdr:colOff>
      <xdr:row>1</xdr:row>
      <xdr:rowOff>142875</xdr:rowOff>
    </xdr:from>
    <xdr:to>
      <xdr:col>6</xdr:col>
      <xdr:colOff>684150</xdr:colOff>
      <xdr:row>3</xdr:row>
      <xdr:rowOff>49875</xdr:rowOff>
    </xdr:to>
    <xdr:sp macro="" textlink="">
      <xdr:nvSpPr>
        <xdr:cNvPr id="11" name="Rectangle à coins arrondis 2">
          <a:hlinkClick xmlns:r="http://schemas.openxmlformats.org/officeDocument/2006/relationships" r:id="rId5" tooltip="E-BPC-3"/>
        </xdr:cNvPr>
        <xdr:cNvSpPr>
          <a:spLocks noChangeArrowheads="1"/>
        </xdr:cNvSpPr>
      </xdr:nvSpPr>
      <xdr:spPr bwMode="auto">
        <a:xfrm>
          <a:off x="6962775" y="466725"/>
          <a:ext cx="1008000" cy="288000"/>
        </a:xfrm>
        <a:prstGeom prst="roundRect">
          <a:avLst>
            <a:gd name="adj" fmla="val 16667"/>
          </a:avLst>
        </a:prstGeom>
        <a:solidFill>
          <a:srgbClr val="58AB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E-BPC-3</a:t>
          </a:r>
        </a:p>
      </xdr:txBody>
    </xdr:sp>
    <xdr:clientData/>
  </xdr:twoCellAnchor>
  <xdr:twoCellAnchor editAs="oneCell">
    <xdr:from>
      <xdr:col>1</xdr:col>
      <xdr:colOff>38100</xdr:colOff>
      <xdr:row>77</xdr:row>
      <xdr:rowOff>123825</xdr:rowOff>
    </xdr:from>
    <xdr:to>
      <xdr:col>1</xdr:col>
      <xdr:colOff>398100</xdr:colOff>
      <xdr:row>79</xdr:row>
      <xdr:rowOff>74250</xdr:rowOff>
    </xdr:to>
    <xdr:pic>
      <xdr:nvPicPr>
        <xdr:cNvPr id="13" name="Picture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42900" y="16840200"/>
          <a:ext cx="360000" cy="360000"/>
        </a:xfrm>
        <a:prstGeom prst="rect">
          <a:avLst/>
        </a:prstGeom>
      </xdr:spPr>
    </xdr:pic>
    <xdr:clientData/>
  </xdr:twoCellAnchor>
  <xdr:oneCellAnchor>
    <xdr:from>
      <xdr:col>1</xdr:col>
      <xdr:colOff>28575</xdr:colOff>
      <xdr:row>46</xdr:row>
      <xdr:rowOff>161925</xdr:rowOff>
    </xdr:from>
    <xdr:ext cx="360000" cy="360000"/>
    <xdr:pic>
      <xdr:nvPicPr>
        <xdr:cNvPr id="14" name="Picture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9534525"/>
          <a:ext cx="360000" cy="360000"/>
        </a:xfrm>
        <a:prstGeom prst="rect">
          <a:avLst/>
        </a:prstGeom>
      </xdr:spPr>
    </xdr:pic>
    <xdr:clientData/>
  </xdr:oneCellAnchor>
  <xdr:twoCellAnchor editAs="oneCell">
    <xdr:from>
      <xdr:col>1</xdr:col>
      <xdr:colOff>19050</xdr:colOff>
      <xdr:row>44</xdr:row>
      <xdr:rowOff>114300</xdr:rowOff>
    </xdr:from>
    <xdr:to>
      <xdr:col>1</xdr:col>
      <xdr:colOff>379050</xdr:colOff>
      <xdr:row>46</xdr:row>
      <xdr:rowOff>93300</xdr:rowOff>
    </xdr:to>
    <xdr:pic>
      <xdr:nvPicPr>
        <xdr:cNvPr id="15" name="Picture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9105900"/>
          <a:ext cx="360000" cy="360000"/>
        </a:xfrm>
        <a:prstGeom prst="rect">
          <a:avLst/>
        </a:prstGeom>
      </xdr:spPr>
    </xdr:pic>
    <xdr:clientData/>
  </xdr:twoCellAnchor>
  <xdr:twoCellAnchor editAs="oneCell">
    <xdr:from>
      <xdr:col>1</xdr:col>
      <xdr:colOff>28575</xdr:colOff>
      <xdr:row>17</xdr:row>
      <xdr:rowOff>123825</xdr:rowOff>
    </xdr:from>
    <xdr:to>
      <xdr:col>1</xdr:col>
      <xdr:colOff>388575</xdr:colOff>
      <xdr:row>19</xdr:row>
      <xdr:rowOff>102825</xdr:rowOff>
    </xdr:to>
    <xdr:pic>
      <xdr:nvPicPr>
        <xdr:cNvPr id="16" name="Picture 1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425" y="4048125"/>
          <a:ext cx="360000" cy="360000"/>
        </a:xfrm>
        <a:prstGeom prst="rect">
          <a:avLst/>
        </a:prstGeom>
      </xdr:spPr>
    </xdr:pic>
    <xdr:clientData/>
  </xdr:twoCellAnchor>
  <xdr:oneCellAnchor>
    <xdr:from>
      <xdr:col>1</xdr:col>
      <xdr:colOff>9525</xdr:colOff>
      <xdr:row>20</xdr:row>
      <xdr:rowOff>0</xdr:rowOff>
    </xdr:from>
    <xdr:ext cx="401641" cy="396000"/>
    <xdr:pic>
      <xdr:nvPicPr>
        <xdr:cNvPr id="17" name="Picture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33375" y="4495800"/>
          <a:ext cx="401641" cy="396000"/>
        </a:xfrm>
        <a:prstGeom prst="rect">
          <a:avLst/>
        </a:prstGeom>
      </xdr:spPr>
    </xdr:pic>
    <xdr:clientData/>
  </xdr:oneCellAnchor>
  <xdr:twoCellAnchor editAs="oneCell">
    <xdr:from>
      <xdr:col>1</xdr:col>
      <xdr:colOff>38100</xdr:colOff>
      <xdr:row>22</xdr:row>
      <xdr:rowOff>114300</xdr:rowOff>
    </xdr:from>
    <xdr:to>
      <xdr:col>1</xdr:col>
      <xdr:colOff>398100</xdr:colOff>
      <xdr:row>24</xdr:row>
      <xdr:rowOff>93300</xdr:rowOff>
    </xdr:to>
    <xdr:pic>
      <xdr:nvPicPr>
        <xdr:cNvPr id="18" name="Picture 1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61950" y="4991100"/>
          <a:ext cx="360000" cy="360000"/>
        </a:xfrm>
        <a:prstGeom prst="rect">
          <a:avLst/>
        </a:prstGeom>
      </xdr:spPr>
    </xdr:pic>
    <xdr:clientData/>
  </xdr:twoCellAnchor>
  <xdr:twoCellAnchor editAs="oneCell">
    <xdr:from>
      <xdr:col>1</xdr:col>
      <xdr:colOff>57150</xdr:colOff>
      <xdr:row>72</xdr:row>
      <xdr:rowOff>0</xdr:rowOff>
    </xdr:from>
    <xdr:to>
      <xdr:col>1</xdr:col>
      <xdr:colOff>633150</xdr:colOff>
      <xdr:row>75</xdr:row>
      <xdr:rowOff>4500</xdr:rowOff>
    </xdr:to>
    <xdr:pic>
      <xdr:nvPicPr>
        <xdr:cNvPr id="19" name="Picture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61950" y="15763875"/>
          <a:ext cx="576000" cy="576000"/>
        </a:xfrm>
        <a:prstGeom prst="rect">
          <a:avLst/>
        </a:prstGeom>
      </xdr:spPr>
    </xdr:pic>
    <xdr:clientData/>
  </xdr:twoCellAnchor>
  <xdr:twoCellAnchor>
    <xdr:from>
      <xdr:col>6</xdr:col>
      <xdr:colOff>1104900</xdr:colOff>
      <xdr:row>1</xdr:row>
      <xdr:rowOff>104775</xdr:rowOff>
    </xdr:from>
    <xdr:to>
      <xdr:col>7</xdr:col>
      <xdr:colOff>381000</xdr:colOff>
      <xdr:row>3</xdr:row>
      <xdr:rowOff>76200</xdr:rowOff>
    </xdr:to>
    <xdr:sp macro="" textlink="">
      <xdr:nvSpPr>
        <xdr:cNvPr id="20" name="Up Arrow 19">
          <a:hlinkClick xmlns:r="http://schemas.openxmlformats.org/officeDocument/2006/relationships" r:id="rId10" tooltip="Back to top"/>
        </xdr:cNvPr>
        <xdr:cNvSpPr/>
      </xdr:nvSpPr>
      <xdr:spPr>
        <a:xfrm>
          <a:off x="8391525" y="428625"/>
          <a:ext cx="447675" cy="352425"/>
        </a:xfrm>
        <a:prstGeom prst="upArrow">
          <a:avLst/>
        </a:prstGeom>
        <a:solidFill>
          <a:srgbClr val="58AB27"/>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144454</xdr:colOff>
      <xdr:row>0</xdr:row>
      <xdr:rowOff>52916</xdr:rowOff>
    </xdr:from>
    <xdr:to>
      <xdr:col>11</xdr:col>
      <xdr:colOff>148168</xdr:colOff>
      <xdr:row>2</xdr:row>
      <xdr:rowOff>193157</xdr:rowOff>
    </xdr:to>
    <xdr:pic>
      <xdr:nvPicPr>
        <xdr:cNvPr id="2" name="Image 2" descr="Water.png"/>
        <xdr:cNvPicPr>
          <a:picLocks noChangeAspect="1"/>
        </xdr:cNvPicPr>
      </xdr:nvPicPr>
      <xdr:blipFill>
        <a:blip xmlns:r="http://schemas.openxmlformats.org/officeDocument/2006/relationships" r:embed="rId1" cstate="print"/>
        <a:srcRect/>
        <a:stretch>
          <a:fillRect/>
        </a:stretch>
      </xdr:blipFill>
      <xdr:spPr bwMode="auto">
        <a:xfrm>
          <a:off x="9531871" y="52916"/>
          <a:ext cx="882130" cy="912824"/>
        </a:xfrm>
        <a:prstGeom prst="rect">
          <a:avLst/>
        </a:prstGeom>
        <a:noFill/>
        <a:ln w="9525">
          <a:noFill/>
          <a:miter lim="800000"/>
          <a:headEnd/>
          <a:tailEnd/>
        </a:ln>
      </xdr:spPr>
    </xdr:pic>
    <xdr:clientData/>
  </xdr:twoCellAnchor>
  <xdr:twoCellAnchor>
    <xdr:from>
      <xdr:col>0</xdr:col>
      <xdr:colOff>338666</xdr:colOff>
      <xdr:row>11</xdr:row>
      <xdr:rowOff>169333</xdr:rowOff>
    </xdr:from>
    <xdr:to>
      <xdr:col>1</xdr:col>
      <xdr:colOff>1937666</xdr:colOff>
      <xdr:row>13</xdr:row>
      <xdr:rowOff>184333</xdr:rowOff>
    </xdr:to>
    <xdr:sp macro="" textlink="">
      <xdr:nvSpPr>
        <xdr:cNvPr id="5" name="Rectangle à coins arrondis 2">
          <a:hlinkClick xmlns:r="http://schemas.openxmlformats.org/officeDocument/2006/relationships" r:id="rId2" tooltip="Scorecard"/>
        </xdr:cNvPr>
        <xdr:cNvSpPr>
          <a:spLocks noChangeArrowheads="1"/>
        </xdr:cNvSpPr>
      </xdr:nvSpPr>
      <xdr:spPr bwMode="auto">
        <a:xfrm>
          <a:off x="338666" y="3418416"/>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295274</xdr:colOff>
      <xdr:row>1</xdr:row>
      <xdr:rowOff>104775</xdr:rowOff>
    </xdr:from>
    <xdr:to>
      <xdr:col>2</xdr:col>
      <xdr:colOff>1028700</xdr:colOff>
      <xdr:row>3</xdr:row>
      <xdr:rowOff>47775</xdr:rowOff>
    </xdr:to>
    <xdr:sp macro="" textlink="">
      <xdr:nvSpPr>
        <xdr:cNvPr id="2" name="Rectangle à coins arrondis 2">
          <a:hlinkClick xmlns:r="http://schemas.openxmlformats.org/officeDocument/2006/relationships" r:id="rId1" tooltip="Back to Water"/>
        </xdr:cNvPr>
        <xdr:cNvSpPr>
          <a:spLocks noChangeArrowheads="1"/>
        </xdr:cNvSpPr>
      </xdr:nvSpPr>
      <xdr:spPr bwMode="auto">
        <a:xfrm>
          <a:off x="628649" y="400050"/>
          <a:ext cx="1981201"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Water</a:t>
          </a:r>
        </a:p>
      </xdr:txBody>
    </xdr:sp>
    <xdr:clientData/>
  </xdr:twoCellAnchor>
  <xdr:twoCellAnchor>
    <xdr:from>
      <xdr:col>3</xdr:col>
      <xdr:colOff>314325</xdr:colOff>
      <xdr:row>1</xdr:row>
      <xdr:rowOff>104775</xdr:rowOff>
    </xdr:from>
    <xdr:to>
      <xdr:col>5</xdr:col>
      <xdr:colOff>36900</xdr:colOff>
      <xdr:row>3</xdr:row>
      <xdr:rowOff>47775</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133725" y="40005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6</xdr:col>
      <xdr:colOff>247650</xdr:colOff>
      <xdr:row>5</xdr:row>
      <xdr:rowOff>9525</xdr:rowOff>
    </xdr:from>
    <xdr:to>
      <xdr:col>7</xdr:col>
      <xdr:colOff>407100</xdr:colOff>
      <xdr:row>6</xdr:row>
      <xdr:rowOff>30825</xdr:rowOff>
    </xdr:to>
    <xdr:sp macro="" textlink="">
      <xdr:nvSpPr>
        <xdr:cNvPr id="4" name="Rectangle à coins arrondis 2">
          <a:hlinkClick xmlns:r="http://schemas.openxmlformats.org/officeDocument/2006/relationships" r:id="rId3" tooltip="Prescriptive Path"/>
        </xdr:cNvPr>
        <xdr:cNvSpPr>
          <a:spLocks noChangeArrowheads="1"/>
        </xdr:cNvSpPr>
      </xdr:nvSpPr>
      <xdr:spPr bwMode="auto">
        <a:xfrm>
          <a:off x="6572250" y="1143000"/>
          <a:ext cx="1512000" cy="28800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7</xdr:col>
      <xdr:colOff>685799</xdr:colOff>
      <xdr:row>5</xdr:row>
      <xdr:rowOff>9525</xdr:rowOff>
    </xdr:from>
    <xdr:to>
      <xdr:col>8</xdr:col>
      <xdr:colOff>883349</xdr:colOff>
      <xdr:row>6</xdr:row>
      <xdr:rowOff>30825</xdr:rowOff>
    </xdr:to>
    <xdr:sp macro="" textlink="">
      <xdr:nvSpPr>
        <xdr:cNvPr id="5" name="Rectangle à coins arrondis 2">
          <a:hlinkClick xmlns:r="http://schemas.openxmlformats.org/officeDocument/2006/relationships" r:id="rId4" tooltip="Performance Path"/>
        </xdr:cNvPr>
        <xdr:cNvSpPr>
          <a:spLocks noChangeArrowheads="1"/>
        </xdr:cNvSpPr>
      </xdr:nvSpPr>
      <xdr:spPr bwMode="auto">
        <a:xfrm>
          <a:off x="8362949" y="1143000"/>
          <a:ext cx="1512000" cy="288000"/>
        </a:xfrm>
        <a:prstGeom prst="roundRect">
          <a:avLst>
            <a:gd name="adj" fmla="val 16667"/>
          </a:avLst>
        </a:prstGeom>
        <a:solidFill>
          <a:schemeClr val="accent1">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5</xdr:col>
      <xdr:colOff>952500</xdr:colOff>
      <xdr:row>5</xdr:row>
      <xdr:rowOff>19050</xdr:rowOff>
    </xdr:from>
    <xdr:to>
      <xdr:col>6</xdr:col>
      <xdr:colOff>9675</xdr:colOff>
      <xdr:row>6</xdr:row>
      <xdr:rowOff>40350</xdr:rowOff>
    </xdr:to>
    <xdr:sp macro="" textlink="">
      <xdr:nvSpPr>
        <xdr:cNvPr id="6" name="Flèche droite 5"/>
        <xdr:cNvSpPr/>
      </xdr:nvSpPr>
      <xdr:spPr>
        <a:xfrm>
          <a:off x="6010275" y="1152525"/>
          <a:ext cx="324000" cy="288000"/>
        </a:xfrm>
        <a:prstGeom prst="rightArrow">
          <a:avLst/>
        </a:prstGeom>
        <a:solidFill>
          <a:srgbClr val="0070C0"/>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0</xdr:col>
      <xdr:colOff>323850</xdr:colOff>
      <xdr:row>24</xdr:row>
      <xdr:rowOff>95250</xdr:rowOff>
    </xdr:from>
    <xdr:to>
      <xdr:col>1</xdr:col>
      <xdr:colOff>396000</xdr:colOff>
      <xdr:row>26</xdr:row>
      <xdr:rowOff>110250</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3850" y="5381625"/>
          <a:ext cx="396000" cy="396000"/>
        </a:xfrm>
        <a:prstGeom prst="rect">
          <a:avLst/>
        </a:prstGeom>
      </xdr:spPr>
    </xdr:pic>
    <xdr:clientData/>
  </xdr:twoCellAnchor>
  <xdr:twoCellAnchor editAs="oneCell">
    <xdr:from>
      <xdr:col>1</xdr:col>
      <xdr:colOff>57150</xdr:colOff>
      <xdr:row>28</xdr:row>
      <xdr:rowOff>28575</xdr:rowOff>
    </xdr:from>
    <xdr:to>
      <xdr:col>1</xdr:col>
      <xdr:colOff>597150</xdr:colOff>
      <xdr:row>30</xdr:row>
      <xdr:rowOff>187575</xdr:rowOff>
    </xdr:to>
    <xdr:pic>
      <xdr:nvPicPr>
        <xdr:cNvPr id="8" name="Picture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0525" y="6076950"/>
          <a:ext cx="540000" cy="540000"/>
        </a:xfrm>
        <a:prstGeom prst="rect">
          <a:avLst/>
        </a:prstGeom>
      </xdr:spPr>
    </xdr:pic>
    <xdr:clientData/>
  </xdr:twoCellAnchor>
  <xdr:oneCellAnchor>
    <xdr:from>
      <xdr:col>0</xdr:col>
      <xdr:colOff>323850</xdr:colOff>
      <xdr:row>91</xdr:row>
      <xdr:rowOff>95250</xdr:rowOff>
    </xdr:from>
    <xdr:ext cx="396000" cy="396000"/>
    <xdr:pic>
      <xdr:nvPicPr>
        <xdr:cNvPr id="9" name="Picture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3850" y="5400675"/>
          <a:ext cx="396000" cy="396000"/>
        </a:xfrm>
        <a:prstGeom prst="rect">
          <a:avLst/>
        </a:prstGeom>
      </xdr:spPr>
    </xdr:pic>
    <xdr:clientData/>
  </xdr:oneCellAnchor>
  <xdr:twoCellAnchor editAs="oneCell">
    <xdr:from>
      <xdr:col>1</xdr:col>
      <xdr:colOff>38100</xdr:colOff>
      <xdr:row>110</xdr:row>
      <xdr:rowOff>104775</xdr:rowOff>
    </xdr:from>
    <xdr:to>
      <xdr:col>1</xdr:col>
      <xdr:colOff>398100</xdr:colOff>
      <xdr:row>112</xdr:row>
      <xdr:rowOff>83775</xdr:rowOff>
    </xdr:to>
    <xdr:pic>
      <xdr:nvPicPr>
        <xdr:cNvPr id="10" name="Picture 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1475" y="4686300"/>
          <a:ext cx="360000" cy="360000"/>
        </a:xfrm>
        <a:prstGeom prst="rect">
          <a:avLst/>
        </a:prstGeom>
      </xdr:spPr>
    </xdr:pic>
    <xdr:clientData/>
  </xdr:twoCellAnchor>
  <xdr:oneCellAnchor>
    <xdr:from>
      <xdr:col>1</xdr:col>
      <xdr:colOff>38100</xdr:colOff>
      <xdr:row>34</xdr:row>
      <xdr:rowOff>104775</xdr:rowOff>
    </xdr:from>
    <xdr:ext cx="360000" cy="360000"/>
    <xdr:pic>
      <xdr:nvPicPr>
        <xdr:cNvPr id="11" name="Picture 1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1475" y="23545800"/>
          <a:ext cx="360000" cy="360000"/>
        </a:xfrm>
        <a:prstGeom prst="rect">
          <a:avLst/>
        </a:prstGeom>
      </xdr:spPr>
    </xdr:pic>
    <xdr:clientData/>
  </xdr:oneCellAnchor>
  <xdr:twoCellAnchor>
    <xdr:from>
      <xdr:col>7</xdr:col>
      <xdr:colOff>733425</xdr:colOff>
      <xdr:row>1</xdr:row>
      <xdr:rowOff>95250</xdr:rowOff>
    </xdr:from>
    <xdr:to>
      <xdr:col>7</xdr:col>
      <xdr:colOff>1181100</xdr:colOff>
      <xdr:row>3</xdr:row>
      <xdr:rowOff>66675</xdr:rowOff>
    </xdr:to>
    <xdr:sp macro="" textlink="">
      <xdr:nvSpPr>
        <xdr:cNvPr id="12" name="Up Arrow 11">
          <a:hlinkClick xmlns:r="http://schemas.openxmlformats.org/officeDocument/2006/relationships" r:id="rId8" tooltip="Back to top"/>
        </xdr:cNvPr>
        <xdr:cNvSpPr/>
      </xdr:nvSpPr>
      <xdr:spPr>
        <a:xfrm>
          <a:off x="8410575" y="390525"/>
          <a:ext cx="447675" cy="352425"/>
        </a:xfrm>
        <a:prstGeom prst="upArrow">
          <a:avLst/>
        </a:prstGeom>
        <a:solidFill>
          <a:srgbClr val="0070C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xdr:col>
      <xdr:colOff>781048</xdr:colOff>
      <xdr:row>1</xdr:row>
      <xdr:rowOff>114300</xdr:rowOff>
    </xdr:from>
    <xdr:to>
      <xdr:col>6</xdr:col>
      <xdr:colOff>389323</xdr:colOff>
      <xdr:row>3</xdr:row>
      <xdr:rowOff>57300</xdr:rowOff>
    </xdr:to>
    <xdr:sp macro="" textlink="">
      <xdr:nvSpPr>
        <xdr:cNvPr id="6" name="Rectangle à coins arrondis 5">
          <a:hlinkClick xmlns:r="http://schemas.openxmlformats.org/officeDocument/2006/relationships" r:id="rId1" tooltip="Scorecard"/>
        </xdr:cNvPr>
        <xdr:cNvSpPr>
          <a:spLocks noChangeArrowheads="1"/>
        </xdr:cNvSpPr>
      </xdr:nvSpPr>
      <xdr:spPr bwMode="auto">
        <a:xfrm>
          <a:off x="3152773" y="409575"/>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1</xdr:col>
      <xdr:colOff>295274</xdr:colOff>
      <xdr:row>1</xdr:row>
      <xdr:rowOff>114300</xdr:rowOff>
    </xdr:from>
    <xdr:to>
      <xdr:col>3</xdr:col>
      <xdr:colOff>236924</xdr:colOff>
      <xdr:row>3</xdr:row>
      <xdr:rowOff>57300</xdr:rowOff>
    </xdr:to>
    <xdr:sp macro="" textlink="">
      <xdr:nvSpPr>
        <xdr:cNvPr id="5" name="Rectangle à coins arrondis 2">
          <a:hlinkClick xmlns:r="http://schemas.openxmlformats.org/officeDocument/2006/relationships" r:id="rId2" tooltip="Back to Water"/>
        </xdr:cNvPr>
        <xdr:cNvSpPr>
          <a:spLocks noChangeArrowheads="1"/>
        </xdr:cNvSpPr>
      </xdr:nvSpPr>
      <xdr:spPr bwMode="auto">
        <a:xfrm>
          <a:off x="628649" y="409575"/>
          <a:ext cx="1980000"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Water</a:t>
          </a:r>
        </a:p>
      </xdr:txBody>
    </xdr:sp>
    <xdr:clientData/>
  </xdr:twoCellAnchor>
  <xdr:twoCellAnchor>
    <xdr:from>
      <xdr:col>8</xdr:col>
      <xdr:colOff>152400</xdr:colOff>
      <xdr:row>5</xdr:row>
      <xdr:rowOff>104775</xdr:rowOff>
    </xdr:from>
    <xdr:to>
      <xdr:col>10</xdr:col>
      <xdr:colOff>191250</xdr:colOff>
      <xdr:row>6</xdr:row>
      <xdr:rowOff>137700</xdr:rowOff>
    </xdr:to>
    <xdr:sp macro="" textlink="">
      <xdr:nvSpPr>
        <xdr:cNvPr id="4" name="Rectangle à coins arrondis 2">
          <a:hlinkClick xmlns:r="http://schemas.openxmlformats.org/officeDocument/2006/relationships" r:id="rId3" tooltip="Prescriptive Path"/>
        </xdr:cNvPr>
        <xdr:cNvSpPr>
          <a:spLocks noChangeArrowheads="1"/>
        </xdr:cNvSpPr>
      </xdr:nvSpPr>
      <xdr:spPr bwMode="auto">
        <a:xfrm>
          <a:off x="6477000" y="1209675"/>
          <a:ext cx="1620000" cy="271050"/>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10</xdr:col>
      <xdr:colOff>600074</xdr:colOff>
      <xdr:row>5</xdr:row>
      <xdr:rowOff>104775</xdr:rowOff>
    </xdr:from>
    <xdr:to>
      <xdr:col>12</xdr:col>
      <xdr:colOff>638924</xdr:colOff>
      <xdr:row>6</xdr:row>
      <xdr:rowOff>137700</xdr:rowOff>
    </xdr:to>
    <xdr:sp macro="" textlink="">
      <xdr:nvSpPr>
        <xdr:cNvPr id="7" name="Rectangle à coins arrondis 2">
          <a:hlinkClick xmlns:r="http://schemas.openxmlformats.org/officeDocument/2006/relationships" r:id="rId4" tooltip="Performance Path"/>
        </xdr:cNvPr>
        <xdr:cNvSpPr>
          <a:spLocks noChangeArrowheads="1"/>
        </xdr:cNvSpPr>
      </xdr:nvSpPr>
      <xdr:spPr bwMode="auto">
        <a:xfrm>
          <a:off x="8505824" y="1209675"/>
          <a:ext cx="1620000" cy="271050"/>
        </a:xfrm>
        <a:prstGeom prst="roundRect">
          <a:avLst>
            <a:gd name="adj" fmla="val 16667"/>
          </a:avLst>
        </a:prstGeom>
        <a:solidFill>
          <a:schemeClr val="accent1">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7</xdr:col>
      <xdr:colOff>381000</xdr:colOff>
      <xdr:row>5</xdr:row>
      <xdr:rowOff>114300</xdr:rowOff>
    </xdr:from>
    <xdr:to>
      <xdr:col>7</xdr:col>
      <xdr:colOff>705000</xdr:colOff>
      <xdr:row>6</xdr:row>
      <xdr:rowOff>147225</xdr:rowOff>
    </xdr:to>
    <xdr:sp macro="" textlink="">
      <xdr:nvSpPr>
        <xdr:cNvPr id="8" name="Flèche droite 7"/>
        <xdr:cNvSpPr/>
      </xdr:nvSpPr>
      <xdr:spPr>
        <a:xfrm>
          <a:off x="5915025" y="1219200"/>
          <a:ext cx="324000" cy="271050"/>
        </a:xfrm>
        <a:prstGeom prst="rightArrow">
          <a:avLst/>
        </a:prstGeom>
        <a:solidFill>
          <a:srgbClr val="0070C0"/>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xdr:from>
      <xdr:col>10</xdr:col>
      <xdr:colOff>476250</xdr:colOff>
      <xdr:row>117</xdr:row>
      <xdr:rowOff>133348</xdr:rowOff>
    </xdr:from>
    <xdr:to>
      <xdr:col>14</xdr:col>
      <xdr:colOff>581025</xdr:colOff>
      <xdr:row>120</xdr:row>
      <xdr:rowOff>38099</xdr:rowOff>
    </xdr:to>
    <xdr:sp macro="" textlink="">
      <xdr:nvSpPr>
        <xdr:cNvPr id="9" name="Rectangle à coins arrondis 2">
          <a:hlinkClick xmlns:r="http://schemas.openxmlformats.org/officeDocument/2006/relationships" r:id="rId5" tooltip="Resources"/>
        </xdr:cNvPr>
        <xdr:cNvSpPr>
          <a:spLocks noChangeArrowheads="1"/>
        </xdr:cNvSpPr>
      </xdr:nvSpPr>
      <xdr:spPr bwMode="auto">
        <a:xfrm>
          <a:off x="8382000" y="14554198"/>
          <a:ext cx="3267075" cy="476251"/>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typical values of the different parameters</a:t>
          </a:r>
        </a:p>
      </xdr:txBody>
    </xdr:sp>
    <xdr:clientData/>
  </xdr:twoCellAnchor>
  <xdr:oneCellAnchor>
    <xdr:from>
      <xdr:col>0</xdr:col>
      <xdr:colOff>323850</xdr:colOff>
      <xdr:row>94</xdr:row>
      <xdr:rowOff>95250</xdr:rowOff>
    </xdr:from>
    <xdr:ext cx="396000" cy="396000"/>
    <xdr:pic>
      <xdr:nvPicPr>
        <xdr:cNvPr id="14" name="Picture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3850" y="19507200"/>
          <a:ext cx="396000" cy="396000"/>
        </a:xfrm>
        <a:prstGeom prst="rect">
          <a:avLst/>
        </a:prstGeom>
      </xdr:spPr>
    </xdr:pic>
    <xdr:clientData/>
  </xdr:oneCellAnchor>
  <xdr:twoCellAnchor editAs="oneCell">
    <xdr:from>
      <xdr:col>1</xdr:col>
      <xdr:colOff>57150</xdr:colOff>
      <xdr:row>99</xdr:row>
      <xdr:rowOff>47625</xdr:rowOff>
    </xdr:from>
    <xdr:to>
      <xdr:col>1</xdr:col>
      <xdr:colOff>597150</xdr:colOff>
      <xdr:row>102</xdr:row>
      <xdr:rowOff>16125</xdr:rowOff>
    </xdr:to>
    <xdr:pic>
      <xdr:nvPicPr>
        <xdr:cNvPr id="15" name="Picture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90525" y="21583650"/>
          <a:ext cx="540000" cy="540000"/>
        </a:xfrm>
        <a:prstGeom prst="rect">
          <a:avLst/>
        </a:prstGeom>
      </xdr:spPr>
    </xdr:pic>
    <xdr:clientData/>
  </xdr:twoCellAnchor>
  <xdr:twoCellAnchor editAs="oneCell">
    <xdr:from>
      <xdr:col>1</xdr:col>
      <xdr:colOff>57150</xdr:colOff>
      <xdr:row>71</xdr:row>
      <xdr:rowOff>38100</xdr:rowOff>
    </xdr:from>
    <xdr:to>
      <xdr:col>1</xdr:col>
      <xdr:colOff>597150</xdr:colOff>
      <xdr:row>74</xdr:row>
      <xdr:rowOff>6600</xdr:rowOff>
    </xdr:to>
    <xdr:pic>
      <xdr:nvPicPr>
        <xdr:cNvPr id="16" name="Picture 1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0525" y="13535025"/>
          <a:ext cx="540000" cy="540000"/>
        </a:xfrm>
        <a:prstGeom prst="rect">
          <a:avLst/>
        </a:prstGeom>
      </xdr:spPr>
    </xdr:pic>
    <xdr:clientData/>
  </xdr:twoCellAnchor>
  <xdr:twoCellAnchor editAs="oneCell">
    <xdr:from>
      <xdr:col>1</xdr:col>
      <xdr:colOff>38100</xdr:colOff>
      <xdr:row>27</xdr:row>
      <xdr:rowOff>38100</xdr:rowOff>
    </xdr:from>
    <xdr:to>
      <xdr:col>1</xdr:col>
      <xdr:colOff>578100</xdr:colOff>
      <xdr:row>30</xdr:row>
      <xdr:rowOff>6600</xdr:rowOff>
    </xdr:to>
    <xdr:pic>
      <xdr:nvPicPr>
        <xdr:cNvPr id="17" name="Picture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71475" y="6362700"/>
          <a:ext cx="540000" cy="540000"/>
        </a:xfrm>
        <a:prstGeom prst="rect">
          <a:avLst/>
        </a:prstGeom>
      </xdr:spPr>
    </xdr:pic>
    <xdr:clientData/>
  </xdr:twoCellAnchor>
  <xdr:twoCellAnchor editAs="oneCell">
    <xdr:from>
      <xdr:col>1</xdr:col>
      <xdr:colOff>38100</xdr:colOff>
      <xdr:row>32</xdr:row>
      <xdr:rowOff>133350</xdr:rowOff>
    </xdr:from>
    <xdr:to>
      <xdr:col>1</xdr:col>
      <xdr:colOff>578100</xdr:colOff>
      <xdr:row>35</xdr:row>
      <xdr:rowOff>101850</xdr:rowOff>
    </xdr:to>
    <xdr:pic>
      <xdr:nvPicPr>
        <xdr:cNvPr id="18" name="Picture 1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1475" y="7600950"/>
          <a:ext cx="540000" cy="540000"/>
        </a:xfrm>
        <a:prstGeom prst="rect">
          <a:avLst/>
        </a:prstGeom>
      </xdr:spPr>
    </xdr:pic>
    <xdr:clientData/>
  </xdr:twoCellAnchor>
  <xdr:oneCellAnchor>
    <xdr:from>
      <xdr:col>1</xdr:col>
      <xdr:colOff>38100</xdr:colOff>
      <xdr:row>38</xdr:row>
      <xdr:rowOff>104775</xdr:rowOff>
    </xdr:from>
    <xdr:ext cx="360000" cy="360000"/>
    <xdr:pic>
      <xdr:nvPicPr>
        <xdr:cNvPr id="20" name="Picture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1475" y="7372350"/>
          <a:ext cx="360000" cy="360000"/>
        </a:xfrm>
        <a:prstGeom prst="rect">
          <a:avLst/>
        </a:prstGeom>
      </xdr:spPr>
    </xdr:pic>
    <xdr:clientData/>
  </xdr:oneCellAnchor>
  <xdr:twoCellAnchor>
    <xdr:from>
      <xdr:col>12</xdr:col>
      <xdr:colOff>266700</xdr:colOff>
      <xdr:row>1</xdr:row>
      <xdr:rowOff>104775</xdr:rowOff>
    </xdr:from>
    <xdr:to>
      <xdr:col>12</xdr:col>
      <xdr:colOff>714375</xdr:colOff>
      <xdr:row>3</xdr:row>
      <xdr:rowOff>76200</xdr:rowOff>
    </xdr:to>
    <xdr:sp macro="" textlink="">
      <xdr:nvSpPr>
        <xdr:cNvPr id="19" name="Up Arrow 18">
          <a:hlinkClick xmlns:r="http://schemas.openxmlformats.org/officeDocument/2006/relationships" r:id="rId10" tooltip="Back to top"/>
        </xdr:cNvPr>
        <xdr:cNvSpPr/>
      </xdr:nvSpPr>
      <xdr:spPr>
        <a:xfrm>
          <a:off x="9753600" y="400050"/>
          <a:ext cx="447675" cy="352425"/>
        </a:xfrm>
        <a:prstGeom prst="upArrow">
          <a:avLst/>
        </a:prstGeom>
        <a:solidFill>
          <a:srgbClr val="0070C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295274</xdr:colOff>
      <xdr:row>1</xdr:row>
      <xdr:rowOff>104775</xdr:rowOff>
    </xdr:from>
    <xdr:to>
      <xdr:col>2</xdr:col>
      <xdr:colOff>1028700</xdr:colOff>
      <xdr:row>3</xdr:row>
      <xdr:rowOff>47775</xdr:rowOff>
    </xdr:to>
    <xdr:sp macro="" textlink="">
      <xdr:nvSpPr>
        <xdr:cNvPr id="11" name="Rectangle à coins arrondis 2">
          <a:hlinkClick xmlns:r="http://schemas.openxmlformats.org/officeDocument/2006/relationships" r:id="rId1" tooltip="Back to Water"/>
        </xdr:cNvPr>
        <xdr:cNvSpPr>
          <a:spLocks noChangeArrowheads="1"/>
        </xdr:cNvSpPr>
      </xdr:nvSpPr>
      <xdr:spPr bwMode="auto">
        <a:xfrm>
          <a:off x="628649" y="400050"/>
          <a:ext cx="1981201"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Water</a:t>
          </a:r>
        </a:p>
      </xdr:txBody>
    </xdr:sp>
    <xdr:clientData/>
  </xdr:twoCellAnchor>
  <xdr:twoCellAnchor>
    <xdr:from>
      <xdr:col>3</xdr:col>
      <xdr:colOff>371475</xdr:colOff>
      <xdr:row>1</xdr:row>
      <xdr:rowOff>104775</xdr:rowOff>
    </xdr:from>
    <xdr:to>
      <xdr:col>5</xdr:col>
      <xdr:colOff>122625</xdr:colOff>
      <xdr:row>3</xdr:row>
      <xdr:rowOff>47775</xdr:rowOff>
    </xdr:to>
    <xdr:sp macro="" textlink="">
      <xdr:nvSpPr>
        <xdr:cNvPr id="12" name="Rectangle à coins arrondis 11">
          <a:hlinkClick xmlns:r="http://schemas.openxmlformats.org/officeDocument/2006/relationships" r:id="rId2" tooltip="Scorecard"/>
        </xdr:cNvPr>
        <xdr:cNvSpPr>
          <a:spLocks noChangeArrowheads="1"/>
        </xdr:cNvSpPr>
      </xdr:nvSpPr>
      <xdr:spPr bwMode="auto">
        <a:xfrm>
          <a:off x="3200400" y="40005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57150</xdr:colOff>
      <xdr:row>16</xdr:row>
      <xdr:rowOff>123825</xdr:rowOff>
    </xdr:from>
    <xdr:to>
      <xdr:col>1</xdr:col>
      <xdr:colOff>597150</xdr:colOff>
      <xdr:row>19</xdr:row>
      <xdr:rowOff>92325</xdr:rowOff>
    </xdr:to>
    <xdr:pic>
      <xdr:nvPicPr>
        <xdr:cNvPr id="2"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0525" y="3562350"/>
          <a:ext cx="540000" cy="540000"/>
        </a:xfrm>
        <a:prstGeom prst="rect">
          <a:avLst/>
        </a:prstGeom>
      </xdr:spPr>
    </xdr:pic>
    <xdr:clientData/>
  </xdr:twoCellAnchor>
  <xdr:twoCellAnchor editAs="oneCell">
    <xdr:from>
      <xdr:col>1</xdr:col>
      <xdr:colOff>38100</xdr:colOff>
      <xdr:row>21</xdr:row>
      <xdr:rowOff>104775</xdr:rowOff>
    </xdr:from>
    <xdr:to>
      <xdr:col>1</xdr:col>
      <xdr:colOff>398100</xdr:colOff>
      <xdr:row>23</xdr:row>
      <xdr:rowOff>83775</xdr:rowOff>
    </xdr:to>
    <xdr:pic>
      <xdr:nvPicPr>
        <xdr:cNvPr id="3" name="Picture 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71475" y="4657725"/>
          <a:ext cx="360000" cy="360000"/>
        </a:xfrm>
        <a:prstGeom prst="rect">
          <a:avLst/>
        </a:prstGeom>
      </xdr:spPr>
    </xdr:pic>
    <xdr:clientData/>
  </xdr:twoCellAnchor>
  <xdr:twoCellAnchor>
    <xdr:from>
      <xdr:col>7</xdr:col>
      <xdr:colOff>1019175</xdr:colOff>
      <xdr:row>1</xdr:row>
      <xdr:rowOff>95250</xdr:rowOff>
    </xdr:from>
    <xdr:to>
      <xdr:col>7</xdr:col>
      <xdr:colOff>1466850</xdr:colOff>
      <xdr:row>3</xdr:row>
      <xdr:rowOff>66675</xdr:rowOff>
    </xdr:to>
    <xdr:sp macro="" textlink="">
      <xdr:nvSpPr>
        <xdr:cNvPr id="14" name="Up Arrow 13">
          <a:hlinkClick xmlns:r="http://schemas.openxmlformats.org/officeDocument/2006/relationships" r:id="rId5" tooltip="Back to top"/>
        </xdr:cNvPr>
        <xdr:cNvSpPr/>
      </xdr:nvSpPr>
      <xdr:spPr>
        <a:xfrm>
          <a:off x="8696325" y="390525"/>
          <a:ext cx="447675" cy="352425"/>
        </a:xfrm>
        <a:prstGeom prst="upArrow">
          <a:avLst/>
        </a:prstGeom>
        <a:solidFill>
          <a:srgbClr val="0070C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57149</xdr:colOff>
      <xdr:row>1</xdr:row>
      <xdr:rowOff>152400</xdr:rowOff>
    </xdr:from>
    <xdr:to>
      <xdr:col>2</xdr:col>
      <xdr:colOff>790575</xdr:colOff>
      <xdr:row>3</xdr:row>
      <xdr:rowOff>95400</xdr:rowOff>
    </xdr:to>
    <xdr:sp macro="" textlink="">
      <xdr:nvSpPr>
        <xdr:cNvPr id="2" name="Rectangle à coins arrondis 2">
          <a:hlinkClick xmlns:r="http://schemas.openxmlformats.org/officeDocument/2006/relationships" r:id="rId1" tooltip="Back to Water"/>
        </xdr:cNvPr>
        <xdr:cNvSpPr>
          <a:spLocks noChangeArrowheads="1"/>
        </xdr:cNvSpPr>
      </xdr:nvSpPr>
      <xdr:spPr bwMode="auto">
        <a:xfrm>
          <a:off x="361949" y="447675"/>
          <a:ext cx="1990726"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Water</a:t>
          </a:r>
        </a:p>
      </xdr:txBody>
    </xdr:sp>
    <xdr:clientData/>
  </xdr:twoCellAnchor>
  <xdr:twoCellAnchor>
    <xdr:from>
      <xdr:col>2</xdr:col>
      <xdr:colOff>1009650</xdr:colOff>
      <xdr:row>1</xdr:row>
      <xdr:rowOff>152400</xdr:rowOff>
    </xdr:from>
    <xdr:to>
      <xdr:col>4</xdr:col>
      <xdr:colOff>893175</xdr:colOff>
      <xdr:row>3</xdr:row>
      <xdr:rowOff>95400</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2571750" y="4476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5</xdr:col>
      <xdr:colOff>228599</xdr:colOff>
      <xdr:row>1</xdr:row>
      <xdr:rowOff>180975</xdr:rowOff>
    </xdr:from>
    <xdr:to>
      <xdr:col>6</xdr:col>
      <xdr:colOff>70349</xdr:colOff>
      <xdr:row>3</xdr:row>
      <xdr:rowOff>87975</xdr:rowOff>
    </xdr:to>
    <xdr:sp macro="" textlink="">
      <xdr:nvSpPr>
        <xdr:cNvPr id="4" name="Rectangle à coins arrondis 2">
          <a:hlinkClick xmlns:r="http://schemas.openxmlformats.org/officeDocument/2006/relationships" r:id="rId3" tooltip="W-BPC-1"/>
        </xdr:cNvPr>
        <xdr:cNvSpPr>
          <a:spLocks noChangeArrowheads="1"/>
        </xdr:cNvSpPr>
      </xdr:nvSpPr>
      <xdr:spPr bwMode="auto">
        <a:xfrm>
          <a:off x="5295899" y="476250"/>
          <a:ext cx="108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W-BPC-1</a:t>
          </a:r>
        </a:p>
      </xdr:txBody>
    </xdr:sp>
    <xdr:clientData/>
  </xdr:twoCellAnchor>
  <xdr:twoCellAnchor>
    <xdr:from>
      <xdr:col>6</xdr:col>
      <xdr:colOff>161925</xdr:colOff>
      <xdr:row>1</xdr:row>
      <xdr:rowOff>180975</xdr:rowOff>
    </xdr:from>
    <xdr:to>
      <xdr:col>6</xdr:col>
      <xdr:colOff>1241925</xdr:colOff>
      <xdr:row>3</xdr:row>
      <xdr:rowOff>87975</xdr:rowOff>
    </xdr:to>
    <xdr:sp macro="" textlink="">
      <xdr:nvSpPr>
        <xdr:cNvPr id="5" name="Rectangle à coins arrondis 2">
          <a:hlinkClick xmlns:r="http://schemas.openxmlformats.org/officeDocument/2006/relationships" r:id="rId4" tooltip="W-BPC-2"/>
        </xdr:cNvPr>
        <xdr:cNvSpPr>
          <a:spLocks noChangeArrowheads="1"/>
        </xdr:cNvSpPr>
      </xdr:nvSpPr>
      <xdr:spPr bwMode="auto">
        <a:xfrm>
          <a:off x="6467475" y="476250"/>
          <a:ext cx="108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W-BPC-2</a:t>
          </a:r>
        </a:p>
      </xdr:txBody>
    </xdr:sp>
    <xdr:clientData/>
  </xdr:twoCellAnchor>
  <xdr:twoCellAnchor>
    <xdr:from>
      <xdr:col>7</xdr:col>
      <xdr:colOff>76199</xdr:colOff>
      <xdr:row>1</xdr:row>
      <xdr:rowOff>180975</xdr:rowOff>
    </xdr:from>
    <xdr:to>
      <xdr:col>7</xdr:col>
      <xdr:colOff>1156199</xdr:colOff>
      <xdr:row>3</xdr:row>
      <xdr:rowOff>87975</xdr:rowOff>
    </xdr:to>
    <xdr:sp macro="" textlink="">
      <xdr:nvSpPr>
        <xdr:cNvPr id="6" name="Rectangle à coins arrondis 2">
          <a:hlinkClick xmlns:r="http://schemas.openxmlformats.org/officeDocument/2006/relationships" r:id="rId5" tooltip="W-BPC-3"/>
        </xdr:cNvPr>
        <xdr:cNvSpPr>
          <a:spLocks noChangeArrowheads="1"/>
        </xdr:cNvSpPr>
      </xdr:nvSpPr>
      <xdr:spPr bwMode="auto">
        <a:xfrm>
          <a:off x="7629524" y="476250"/>
          <a:ext cx="1080000" cy="288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W-BPC-3</a:t>
          </a:r>
        </a:p>
      </xdr:txBody>
    </xdr:sp>
    <xdr:clientData/>
  </xdr:twoCellAnchor>
  <xdr:twoCellAnchor editAs="oneCell">
    <xdr:from>
      <xdr:col>1</xdr:col>
      <xdr:colOff>47625</xdr:colOff>
      <xdr:row>82</xdr:row>
      <xdr:rowOff>142875</xdr:rowOff>
    </xdr:from>
    <xdr:to>
      <xdr:col>1</xdr:col>
      <xdr:colOff>551625</xdr:colOff>
      <xdr:row>85</xdr:row>
      <xdr:rowOff>75375</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17506950"/>
          <a:ext cx="504000" cy="504000"/>
        </a:xfrm>
        <a:prstGeom prst="rect">
          <a:avLst/>
        </a:prstGeom>
      </xdr:spPr>
    </xdr:pic>
    <xdr:clientData/>
  </xdr:twoCellAnchor>
  <xdr:twoCellAnchor editAs="oneCell">
    <xdr:from>
      <xdr:col>1</xdr:col>
      <xdr:colOff>47625</xdr:colOff>
      <xdr:row>87</xdr:row>
      <xdr:rowOff>152400</xdr:rowOff>
    </xdr:from>
    <xdr:to>
      <xdr:col>1</xdr:col>
      <xdr:colOff>407625</xdr:colOff>
      <xdr:row>89</xdr:row>
      <xdr:rowOff>83775</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425" y="18468975"/>
          <a:ext cx="360000" cy="360000"/>
        </a:xfrm>
        <a:prstGeom prst="rect">
          <a:avLst/>
        </a:prstGeom>
      </xdr:spPr>
    </xdr:pic>
    <xdr:clientData/>
  </xdr:twoCellAnchor>
  <xdr:twoCellAnchor editAs="oneCell">
    <xdr:from>
      <xdr:col>1</xdr:col>
      <xdr:colOff>9525</xdr:colOff>
      <xdr:row>18</xdr:row>
      <xdr:rowOff>95250</xdr:rowOff>
    </xdr:from>
    <xdr:to>
      <xdr:col>1</xdr:col>
      <xdr:colOff>405525</xdr:colOff>
      <xdr:row>20</xdr:row>
      <xdr:rowOff>110250</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14325" y="3895725"/>
          <a:ext cx="396000" cy="396000"/>
        </a:xfrm>
        <a:prstGeom prst="rect">
          <a:avLst/>
        </a:prstGeom>
      </xdr:spPr>
    </xdr:pic>
    <xdr:clientData/>
  </xdr:twoCellAnchor>
  <xdr:twoCellAnchor editAs="oneCell">
    <xdr:from>
      <xdr:col>1</xdr:col>
      <xdr:colOff>38100</xdr:colOff>
      <xdr:row>27</xdr:row>
      <xdr:rowOff>104775</xdr:rowOff>
    </xdr:from>
    <xdr:to>
      <xdr:col>1</xdr:col>
      <xdr:colOff>398100</xdr:colOff>
      <xdr:row>29</xdr:row>
      <xdr:rowOff>83775</xdr:rowOff>
    </xdr:to>
    <xdr:pic>
      <xdr:nvPicPr>
        <xdr:cNvPr id="10" name="Picture 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5619750"/>
          <a:ext cx="360000" cy="360000"/>
        </a:xfrm>
        <a:prstGeom prst="rect">
          <a:avLst/>
        </a:prstGeom>
      </xdr:spPr>
    </xdr:pic>
    <xdr:clientData/>
  </xdr:twoCellAnchor>
  <xdr:twoCellAnchor editAs="oneCell">
    <xdr:from>
      <xdr:col>1</xdr:col>
      <xdr:colOff>0</xdr:colOff>
      <xdr:row>53</xdr:row>
      <xdr:rowOff>104775</xdr:rowOff>
    </xdr:from>
    <xdr:to>
      <xdr:col>1</xdr:col>
      <xdr:colOff>396000</xdr:colOff>
      <xdr:row>55</xdr:row>
      <xdr:rowOff>119775</xdr:rowOff>
    </xdr:to>
    <xdr:pic>
      <xdr:nvPicPr>
        <xdr:cNvPr id="11" name="Picture 1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04800" y="11449050"/>
          <a:ext cx="396000" cy="396000"/>
        </a:xfrm>
        <a:prstGeom prst="rect">
          <a:avLst/>
        </a:prstGeom>
      </xdr:spPr>
    </xdr:pic>
    <xdr:clientData/>
  </xdr:twoCellAnchor>
  <xdr:oneCellAnchor>
    <xdr:from>
      <xdr:col>1</xdr:col>
      <xdr:colOff>38100</xdr:colOff>
      <xdr:row>55</xdr:row>
      <xdr:rowOff>161925</xdr:rowOff>
    </xdr:from>
    <xdr:ext cx="360000" cy="360000"/>
    <xdr:pic>
      <xdr:nvPicPr>
        <xdr:cNvPr id="12" name="Picture 1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11887200"/>
          <a:ext cx="360000" cy="360000"/>
        </a:xfrm>
        <a:prstGeom prst="rect">
          <a:avLst/>
        </a:prstGeom>
      </xdr:spPr>
    </xdr:pic>
    <xdr:clientData/>
  </xdr:oneCellAnchor>
  <xdr:twoCellAnchor editAs="oneCell">
    <xdr:from>
      <xdr:col>1</xdr:col>
      <xdr:colOff>47625</xdr:colOff>
      <xdr:row>22</xdr:row>
      <xdr:rowOff>114300</xdr:rowOff>
    </xdr:from>
    <xdr:to>
      <xdr:col>1</xdr:col>
      <xdr:colOff>587625</xdr:colOff>
      <xdr:row>25</xdr:row>
      <xdr:rowOff>82800</xdr:rowOff>
    </xdr:to>
    <xdr:pic>
      <xdr:nvPicPr>
        <xdr:cNvPr id="14" name="Picture 1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2425" y="4676775"/>
          <a:ext cx="540000" cy="540000"/>
        </a:xfrm>
        <a:prstGeom prst="rect">
          <a:avLst/>
        </a:prstGeom>
      </xdr:spPr>
    </xdr:pic>
    <xdr:clientData/>
  </xdr:twoCellAnchor>
  <xdr:twoCellAnchor>
    <xdr:from>
      <xdr:col>8</xdr:col>
      <xdr:colOff>381000</xdr:colOff>
      <xdr:row>1</xdr:row>
      <xdr:rowOff>104775</xdr:rowOff>
    </xdr:from>
    <xdr:to>
      <xdr:col>8</xdr:col>
      <xdr:colOff>828675</xdr:colOff>
      <xdr:row>3</xdr:row>
      <xdr:rowOff>76200</xdr:rowOff>
    </xdr:to>
    <xdr:sp macro="" textlink="">
      <xdr:nvSpPr>
        <xdr:cNvPr id="15" name="Up Arrow 14">
          <a:hlinkClick xmlns:r="http://schemas.openxmlformats.org/officeDocument/2006/relationships" r:id="rId10" tooltip="Back to top"/>
        </xdr:cNvPr>
        <xdr:cNvSpPr/>
      </xdr:nvSpPr>
      <xdr:spPr>
        <a:xfrm>
          <a:off x="9182100" y="400050"/>
          <a:ext cx="447675" cy="352425"/>
        </a:xfrm>
        <a:prstGeom prst="upArrow">
          <a:avLst/>
        </a:prstGeom>
        <a:solidFill>
          <a:srgbClr val="0070C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127000</xdr:colOff>
      <xdr:row>0</xdr:row>
      <xdr:rowOff>31750</xdr:rowOff>
    </xdr:from>
    <xdr:to>
      <xdr:col>11</xdr:col>
      <xdr:colOff>215942</xdr:colOff>
      <xdr:row>2</xdr:row>
      <xdr:rowOff>169750</xdr:rowOff>
    </xdr:to>
    <xdr:pic>
      <xdr:nvPicPr>
        <xdr:cNvPr id="4" name="Image 2" descr="Materials.png"/>
        <xdr:cNvPicPr>
          <a:picLocks noChangeAspect="1"/>
        </xdr:cNvPicPr>
      </xdr:nvPicPr>
      <xdr:blipFill>
        <a:blip xmlns:r="http://schemas.openxmlformats.org/officeDocument/2006/relationships" r:embed="rId1" cstate="print"/>
        <a:srcRect/>
        <a:stretch>
          <a:fillRect/>
        </a:stretch>
      </xdr:blipFill>
      <xdr:spPr bwMode="auto">
        <a:xfrm>
          <a:off x="10488083" y="31750"/>
          <a:ext cx="882692" cy="900000"/>
        </a:xfrm>
        <a:prstGeom prst="rect">
          <a:avLst/>
        </a:prstGeom>
        <a:noFill/>
        <a:ln w="9525">
          <a:noFill/>
          <a:miter lim="800000"/>
          <a:headEnd/>
          <a:tailEnd/>
        </a:ln>
      </xdr:spPr>
    </xdr:pic>
    <xdr:clientData/>
  </xdr:twoCellAnchor>
  <xdr:twoCellAnchor>
    <xdr:from>
      <xdr:col>1</xdr:col>
      <xdr:colOff>10581</xdr:colOff>
      <xdr:row>12</xdr:row>
      <xdr:rowOff>0</xdr:rowOff>
    </xdr:from>
    <xdr:to>
      <xdr:col>1</xdr:col>
      <xdr:colOff>1990581</xdr:colOff>
      <xdr:row>14</xdr:row>
      <xdr:rowOff>14999</xdr:rowOff>
    </xdr:to>
    <xdr:sp macro="" textlink="">
      <xdr:nvSpPr>
        <xdr:cNvPr id="5" name="Rectangle à coins arrondis 2">
          <a:hlinkClick xmlns:r="http://schemas.openxmlformats.org/officeDocument/2006/relationships" r:id="rId2" tooltip="Scorecard"/>
        </xdr:cNvPr>
        <xdr:cNvSpPr>
          <a:spLocks noChangeArrowheads="1"/>
        </xdr:cNvSpPr>
      </xdr:nvSpPr>
      <xdr:spPr bwMode="auto">
        <a:xfrm>
          <a:off x="391581" y="3503083"/>
          <a:ext cx="1980000" cy="395999"/>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285750</xdr:colOff>
      <xdr:row>1</xdr:row>
      <xdr:rowOff>133350</xdr:rowOff>
    </xdr:from>
    <xdr:to>
      <xdr:col>2</xdr:col>
      <xdr:colOff>902700</xdr:colOff>
      <xdr:row>3</xdr:row>
      <xdr:rowOff>76350</xdr:rowOff>
    </xdr:to>
    <xdr:sp macro="" textlink="">
      <xdr:nvSpPr>
        <xdr:cNvPr id="3" name="Rectangle à coins arrondis 2">
          <a:hlinkClick xmlns:r="http://schemas.openxmlformats.org/officeDocument/2006/relationships" r:id="rId1" tooltip="Back to Materials"/>
        </xdr:cNvPr>
        <xdr:cNvSpPr>
          <a:spLocks noChangeArrowheads="1"/>
        </xdr:cNvSpPr>
      </xdr:nvSpPr>
      <xdr:spPr bwMode="auto">
        <a:xfrm>
          <a:off x="533400" y="457200"/>
          <a:ext cx="21600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xdr:from>
      <xdr:col>2</xdr:col>
      <xdr:colOff>1295400</xdr:colOff>
      <xdr:row>1</xdr:row>
      <xdr:rowOff>133350</xdr:rowOff>
    </xdr:from>
    <xdr:to>
      <xdr:col>4</xdr:col>
      <xdr:colOff>664575</xdr:colOff>
      <xdr:row>3</xdr:row>
      <xdr:rowOff>76350</xdr:rowOff>
    </xdr:to>
    <xdr:sp macro="" textlink="">
      <xdr:nvSpPr>
        <xdr:cNvPr id="4" name="Rectangle à coins arrondis 3">
          <a:hlinkClick xmlns:r="http://schemas.openxmlformats.org/officeDocument/2006/relationships" r:id="rId2" tooltip="Scorecard"/>
        </xdr:cNvPr>
        <xdr:cNvSpPr>
          <a:spLocks noChangeArrowheads="1"/>
        </xdr:cNvSpPr>
      </xdr:nvSpPr>
      <xdr:spPr bwMode="auto">
        <a:xfrm>
          <a:off x="3086100" y="4572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19050</xdr:colOff>
      <xdr:row>27</xdr:row>
      <xdr:rowOff>0</xdr:rowOff>
    </xdr:from>
    <xdr:to>
      <xdr:col>1</xdr:col>
      <xdr:colOff>639768</xdr:colOff>
      <xdr:row>30</xdr:row>
      <xdr:rowOff>40500</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700" y="5867400"/>
          <a:ext cx="620718" cy="612000"/>
        </a:xfrm>
        <a:prstGeom prst="rect">
          <a:avLst/>
        </a:prstGeom>
      </xdr:spPr>
    </xdr:pic>
    <xdr:clientData/>
  </xdr:twoCellAnchor>
  <xdr:twoCellAnchor editAs="oneCell">
    <xdr:from>
      <xdr:col>1</xdr:col>
      <xdr:colOff>38100</xdr:colOff>
      <xdr:row>36</xdr:row>
      <xdr:rowOff>133350</xdr:rowOff>
    </xdr:from>
    <xdr:to>
      <xdr:col>1</xdr:col>
      <xdr:colOff>434100</xdr:colOff>
      <xdr:row>38</xdr:row>
      <xdr:rowOff>100725</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7791450"/>
          <a:ext cx="396000" cy="396000"/>
        </a:xfrm>
        <a:prstGeom prst="rect">
          <a:avLst/>
        </a:prstGeom>
      </xdr:spPr>
    </xdr:pic>
    <xdr:clientData/>
  </xdr:twoCellAnchor>
  <xdr:twoCellAnchor editAs="oneCell">
    <xdr:from>
      <xdr:col>1</xdr:col>
      <xdr:colOff>19050</xdr:colOff>
      <xdr:row>16</xdr:row>
      <xdr:rowOff>152400</xdr:rowOff>
    </xdr:from>
    <xdr:to>
      <xdr:col>1</xdr:col>
      <xdr:colOff>415050</xdr:colOff>
      <xdr:row>18</xdr:row>
      <xdr:rowOff>167400</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6700" y="3924300"/>
          <a:ext cx="396000" cy="396000"/>
        </a:xfrm>
        <a:prstGeom prst="rect">
          <a:avLst/>
        </a:prstGeom>
      </xdr:spPr>
    </xdr:pic>
    <xdr:clientData/>
  </xdr:twoCellAnchor>
  <xdr:twoCellAnchor editAs="oneCell">
    <xdr:from>
      <xdr:col>1</xdr:col>
      <xdr:colOff>28575</xdr:colOff>
      <xdr:row>14</xdr:row>
      <xdr:rowOff>95250</xdr:rowOff>
    </xdr:from>
    <xdr:to>
      <xdr:col>1</xdr:col>
      <xdr:colOff>424575</xdr:colOff>
      <xdr:row>16</xdr:row>
      <xdr:rowOff>110250</xdr:rowOff>
    </xdr:to>
    <xdr:pic>
      <xdr:nvPicPr>
        <xdr:cNvPr id="8" name="Picture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225" y="3486150"/>
          <a:ext cx="396000" cy="396000"/>
        </a:xfrm>
        <a:prstGeom prst="rect">
          <a:avLst/>
        </a:prstGeom>
      </xdr:spPr>
    </xdr:pic>
    <xdr:clientData/>
  </xdr:twoCellAnchor>
  <xdr:twoCellAnchor editAs="oneCell">
    <xdr:from>
      <xdr:col>1</xdr:col>
      <xdr:colOff>28575</xdr:colOff>
      <xdr:row>34</xdr:row>
      <xdr:rowOff>85725</xdr:rowOff>
    </xdr:from>
    <xdr:to>
      <xdr:col>1</xdr:col>
      <xdr:colOff>424575</xdr:colOff>
      <xdr:row>36</xdr:row>
      <xdr:rowOff>100725</xdr:rowOff>
    </xdr:to>
    <xdr:pic>
      <xdr:nvPicPr>
        <xdr:cNvPr id="9" name="Picture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6225" y="7362825"/>
          <a:ext cx="396000" cy="396000"/>
        </a:xfrm>
        <a:prstGeom prst="rect">
          <a:avLst/>
        </a:prstGeom>
      </xdr:spPr>
    </xdr:pic>
    <xdr:clientData/>
  </xdr:twoCellAnchor>
  <xdr:twoCellAnchor>
    <xdr:from>
      <xdr:col>6</xdr:col>
      <xdr:colOff>1143000</xdr:colOff>
      <xdr:row>1</xdr:row>
      <xdr:rowOff>123825</xdr:rowOff>
    </xdr:from>
    <xdr:to>
      <xdr:col>7</xdr:col>
      <xdr:colOff>409575</xdr:colOff>
      <xdr:row>3</xdr:row>
      <xdr:rowOff>95250</xdr:rowOff>
    </xdr:to>
    <xdr:sp macro="" textlink="">
      <xdr:nvSpPr>
        <xdr:cNvPr id="10" name="Up Arrow 9">
          <a:hlinkClick xmlns:r="http://schemas.openxmlformats.org/officeDocument/2006/relationships" r:id="rId7" tooltip="Back to top"/>
        </xdr:cNvPr>
        <xdr:cNvSpPr/>
      </xdr:nvSpPr>
      <xdr:spPr>
        <a:xfrm>
          <a:off x="8115300" y="42862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2</xdr:col>
      <xdr:colOff>1276350</xdr:colOff>
      <xdr:row>1</xdr:row>
      <xdr:rowOff>142875</xdr:rowOff>
    </xdr:from>
    <xdr:to>
      <xdr:col>4</xdr:col>
      <xdr:colOff>645525</xdr:colOff>
      <xdr:row>3</xdr:row>
      <xdr:rowOff>85875</xdr:rowOff>
    </xdr:to>
    <xdr:sp macro="" textlink="">
      <xdr:nvSpPr>
        <xdr:cNvPr id="3" name="Rectangle à coins arrondis 2">
          <a:hlinkClick xmlns:r="http://schemas.openxmlformats.org/officeDocument/2006/relationships" r:id="rId1" tooltip="Scorecard"/>
        </xdr:cNvPr>
        <xdr:cNvSpPr>
          <a:spLocks noChangeArrowheads="1"/>
        </xdr:cNvSpPr>
      </xdr:nvSpPr>
      <xdr:spPr bwMode="auto">
        <a:xfrm>
          <a:off x="3067050" y="46672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1</xdr:col>
      <xdr:colOff>200025</xdr:colOff>
      <xdr:row>1</xdr:row>
      <xdr:rowOff>133350</xdr:rowOff>
    </xdr:from>
    <xdr:to>
      <xdr:col>2</xdr:col>
      <xdr:colOff>816975</xdr:colOff>
      <xdr:row>3</xdr:row>
      <xdr:rowOff>76350</xdr:rowOff>
    </xdr:to>
    <xdr:sp macro="" textlink="">
      <xdr:nvSpPr>
        <xdr:cNvPr id="4" name="Rectangle à coins arrondis 3">
          <a:hlinkClick xmlns:r="http://schemas.openxmlformats.org/officeDocument/2006/relationships" r:id="rId2" tooltip="Back to Materials"/>
        </xdr:cNvPr>
        <xdr:cNvSpPr>
          <a:spLocks noChangeArrowheads="1"/>
        </xdr:cNvSpPr>
      </xdr:nvSpPr>
      <xdr:spPr bwMode="auto">
        <a:xfrm>
          <a:off x="447675" y="457200"/>
          <a:ext cx="21600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editAs="oneCell">
    <xdr:from>
      <xdr:col>1</xdr:col>
      <xdr:colOff>28575</xdr:colOff>
      <xdr:row>28</xdr:row>
      <xdr:rowOff>180975</xdr:rowOff>
    </xdr:from>
    <xdr:to>
      <xdr:col>1</xdr:col>
      <xdr:colOff>649293</xdr:colOff>
      <xdr:row>32</xdr:row>
      <xdr:rowOff>30975</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225" y="6219825"/>
          <a:ext cx="620718" cy="612000"/>
        </a:xfrm>
        <a:prstGeom prst="rect">
          <a:avLst/>
        </a:prstGeom>
      </xdr:spPr>
    </xdr:pic>
    <xdr:clientData/>
  </xdr:twoCellAnchor>
  <xdr:twoCellAnchor editAs="oneCell">
    <xdr:from>
      <xdr:col>1</xdr:col>
      <xdr:colOff>38100</xdr:colOff>
      <xdr:row>23</xdr:row>
      <xdr:rowOff>0</xdr:rowOff>
    </xdr:from>
    <xdr:to>
      <xdr:col>1</xdr:col>
      <xdr:colOff>434100</xdr:colOff>
      <xdr:row>25</xdr:row>
      <xdr:rowOff>15000</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5000625"/>
          <a:ext cx="396000" cy="396000"/>
        </a:xfrm>
        <a:prstGeom prst="rect">
          <a:avLst/>
        </a:prstGeom>
      </xdr:spPr>
    </xdr:pic>
    <xdr:clientData/>
  </xdr:twoCellAnchor>
  <xdr:twoCellAnchor editAs="oneCell">
    <xdr:from>
      <xdr:col>1</xdr:col>
      <xdr:colOff>28575</xdr:colOff>
      <xdr:row>14</xdr:row>
      <xdr:rowOff>95250</xdr:rowOff>
    </xdr:from>
    <xdr:to>
      <xdr:col>1</xdr:col>
      <xdr:colOff>424575</xdr:colOff>
      <xdr:row>16</xdr:row>
      <xdr:rowOff>110250</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6225" y="3486150"/>
          <a:ext cx="396000" cy="396000"/>
        </a:xfrm>
        <a:prstGeom prst="rect">
          <a:avLst/>
        </a:prstGeom>
      </xdr:spPr>
    </xdr:pic>
    <xdr:clientData/>
  </xdr:twoCellAnchor>
  <xdr:twoCellAnchor editAs="oneCell">
    <xdr:from>
      <xdr:col>1</xdr:col>
      <xdr:colOff>38100</xdr:colOff>
      <xdr:row>16</xdr:row>
      <xdr:rowOff>190500</xdr:rowOff>
    </xdr:from>
    <xdr:to>
      <xdr:col>1</xdr:col>
      <xdr:colOff>434100</xdr:colOff>
      <xdr:row>18</xdr:row>
      <xdr:rowOff>186450</xdr:rowOff>
    </xdr:to>
    <xdr:pic>
      <xdr:nvPicPr>
        <xdr:cNvPr id="8" name="Picture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3857625"/>
          <a:ext cx="396000" cy="396000"/>
        </a:xfrm>
        <a:prstGeom prst="rect">
          <a:avLst/>
        </a:prstGeom>
      </xdr:spPr>
    </xdr:pic>
    <xdr:clientData/>
  </xdr:twoCellAnchor>
  <xdr:twoCellAnchor editAs="oneCell">
    <xdr:from>
      <xdr:col>1</xdr:col>
      <xdr:colOff>0</xdr:colOff>
      <xdr:row>37</xdr:row>
      <xdr:rowOff>95250</xdr:rowOff>
    </xdr:from>
    <xdr:to>
      <xdr:col>1</xdr:col>
      <xdr:colOff>396000</xdr:colOff>
      <xdr:row>39</xdr:row>
      <xdr:rowOff>110250</xdr:rowOff>
    </xdr:to>
    <xdr:pic>
      <xdr:nvPicPr>
        <xdr:cNvPr id="9" name="Picture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47650" y="7686675"/>
          <a:ext cx="396000" cy="396000"/>
        </a:xfrm>
        <a:prstGeom prst="rect">
          <a:avLst/>
        </a:prstGeom>
      </xdr:spPr>
    </xdr:pic>
    <xdr:clientData/>
  </xdr:twoCellAnchor>
  <xdr:twoCellAnchor editAs="oneCell">
    <xdr:from>
      <xdr:col>1</xdr:col>
      <xdr:colOff>3</xdr:colOff>
      <xdr:row>40</xdr:row>
      <xdr:rowOff>76200</xdr:rowOff>
    </xdr:from>
    <xdr:to>
      <xdr:col>1</xdr:col>
      <xdr:colOff>438156</xdr:colOff>
      <xdr:row>42</xdr:row>
      <xdr:rowOff>127200</xdr:rowOff>
    </xdr:to>
    <xdr:pic>
      <xdr:nvPicPr>
        <xdr:cNvPr id="10" name="Picture 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7653" y="8239125"/>
          <a:ext cx="438153" cy="432000"/>
        </a:xfrm>
        <a:prstGeom prst="rect">
          <a:avLst/>
        </a:prstGeom>
      </xdr:spPr>
    </xdr:pic>
    <xdr:clientData/>
  </xdr:twoCellAnchor>
  <xdr:twoCellAnchor editAs="oneCell">
    <xdr:from>
      <xdr:col>1</xdr:col>
      <xdr:colOff>28575</xdr:colOff>
      <xdr:row>43</xdr:row>
      <xdr:rowOff>85725</xdr:rowOff>
    </xdr:from>
    <xdr:to>
      <xdr:col>1</xdr:col>
      <xdr:colOff>424575</xdr:colOff>
      <xdr:row>45</xdr:row>
      <xdr:rowOff>100725</xdr:rowOff>
    </xdr:to>
    <xdr:pic>
      <xdr:nvPicPr>
        <xdr:cNvPr id="11" name="Picture 1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76225" y="8820150"/>
          <a:ext cx="396000" cy="396000"/>
        </a:xfrm>
        <a:prstGeom prst="rect">
          <a:avLst/>
        </a:prstGeom>
      </xdr:spPr>
    </xdr:pic>
    <xdr:clientData/>
  </xdr:twoCellAnchor>
  <xdr:twoCellAnchor>
    <xdr:from>
      <xdr:col>6</xdr:col>
      <xdr:colOff>1143000</xdr:colOff>
      <xdr:row>1</xdr:row>
      <xdr:rowOff>123825</xdr:rowOff>
    </xdr:from>
    <xdr:to>
      <xdr:col>7</xdr:col>
      <xdr:colOff>409575</xdr:colOff>
      <xdr:row>3</xdr:row>
      <xdr:rowOff>95250</xdr:rowOff>
    </xdr:to>
    <xdr:sp macro="" textlink="">
      <xdr:nvSpPr>
        <xdr:cNvPr id="13" name="Up Arrow 12">
          <a:hlinkClick xmlns:r="http://schemas.openxmlformats.org/officeDocument/2006/relationships" r:id="rId8" tooltip="Back to top"/>
        </xdr:cNvPr>
        <xdr:cNvSpPr/>
      </xdr:nvSpPr>
      <xdr:spPr>
        <a:xfrm>
          <a:off x="8115300" y="42862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47625</xdr:colOff>
      <xdr:row>51</xdr:row>
      <xdr:rowOff>66671</xdr:rowOff>
    </xdr:from>
    <xdr:to>
      <xdr:col>8</xdr:col>
      <xdr:colOff>9000</xdr:colOff>
      <xdr:row>53</xdr:row>
      <xdr:rowOff>147916</xdr:rowOff>
    </xdr:to>
    <xdr:pic>
      <xdr:nvPicPr>
        <xdr:cNvPr id="7" name="Picture 6"/>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 b="43381"/>
        <a:stretch/>
      </xdr:blipFill>
      <xdr:spPr bwMode="auto">
        <a:xfrm>
          <a:off x="295275" y="12392021"/>
          <a:ext cx="5724000" cy="4622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46</xdr:row>
      <xdr:rowOff>95250</xdr:rowOff>
    </xdr:from>
    <xdr:to>
      <xdr:col>8</xdr:col>
      <xdr:colOff>19050</xdr:colOff>
      <xdr:row>48</xdr:row>
      <xdr:rowOff>180975</xdr:rowOff>
    </xdr:to>
    <xdr:pic>
      <xdr:nvPicPr>
        <xdr:cNvPr id="11" name="Picture 10"/>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 r="-332" b="38961"/>
        <a:stretch/>
      </xdr:blipFill>
      <xdr:spPr bwMode="auto">
        <a:xfrm>
          <a:off x="352425" y="11839575"/>
          <a:ext cx="5743575" cy="447675"/>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361948</xdr:colOff>
      <xdr:row>1</xdr:row>
      <xdr:rowOff>47622</xdr:rowOff>
    </xdr:from>
    <xdr:to>
      <xdr:col>13</xdr:col>
      <xdr:colOff>373198</xdr:colOff>
      <xdr:row>3</xdr:row>
      <xdr:rowOff>57297</xdr:rowOff>
    </xdr:to>
    <xdr:sp macro="" textlink="">
      <xdr:nvSpPr>
        <xdr:cNvPr id="10" name="Rectangle à coins arrondis 2">
          <a:hlinkClick xmlns:r="http://schemas.openxmlformats.org/officeDocument/2006/relationships" r:id="rId3" tooltip="Recommendations"/>
        </xdr:cNvPr>
        <xdr:cNvSpPr>
          <a:spLocks noChangeArrowheads="1"/>
        </xdr:cNvSpPr>
      </xdr:nvSpPr>
      <xdr:spPr bwMode="auto">
        <a:xfrm>
          <a:off x="8667748" y="409572"/>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943634"/>
              </a:solidFill>
              <a:effectLst/>
              <a:latin typeface="Arial" panose="020B0604020202020204" pitchFamily="34" charset="0"/>
              <a:ea typeface="+mn-ea"/>
              <a:cs typeface="Arial" panose="020B0604020202020204" pitchFamily="34" charset="0"/>
            </a:rPr>
            <a:t>Recommendations</a:t>
          </a:r>
          <a:endParaRPr lang="fr-FR" sz="1200" b="0" i="0" u="none" strike="noStrike" baseline="0">
            <a:solidFill>
              <a:srgbClr val="943634"/>
            </a:solidFill>
            <a:latin typeface="Arial" pitchFamily="34" charset="0"/>
            <a:cs typeface="Arial" pitchFamily="34" charset="0"/>
          </a:endParaRPr>
        </a:p>
      </xdr:txBody>
    </xdr:sp>
    <xdr:clientData/>
  </xdr:twoCellAnchor>
  <xdr:twoCellAnchor>
    <xdr:from>
      <xdr:col>13</xdr:col>
      <xdr:colOff>476625</xdr:colOff>
      <xdr:row>1</xdr:row>
      <xdr:rowOff>47624</xdr:rowOff>
    </xdr:from>
    <xdr:to>
      <xdr:col>15</xdr:col>
      <xdr:colOff>487875</xdr:colOff>
      <xdr:row>3</xdr:row>
      <xdr:rowOff>57299</xdr:rowOff>
    </xdr:to>
    <xdr:sp macro="" textlink="">
      <xdr:nvSpPr>
        <xdr:cNvPr id="13" name="Rectangle à coins arrondis 2">
          <a:hlinkClick xmlns:r="http://schemas.openxmlformats.org/officeDocument/2006/relationships" r:id="rId4" tooltip="Scorecard"/>
        </xdr:cNvPr>
        <xdr:cNvSpPr>
          <a:spLocks noChangeArrowheads="1"/>
        </xdr:cNvSpPr>
      </xdr:nvSpPr>
      <xdr:spPr bwMode="auto">
        <a:xfrm>
          <a:off x="10211175" y="409574"/>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9</xdr:col>
      <xdr:colOff>247650</xdr:colOff>
      <xdr:row>1</xdr:row>
      <xdr:rowOff>47622</xdr:rowOff>
    </xdr:from>
    <xdr:to>
      <xdr:col>11</xdr:col>
      <xdr:colOff>258900</xdr:colOff>
      <xdr:row>3</xdr:row>
      <xdr:rowOff>57297</xdr:rowOff>
    </xdr:to>
    <xdr:sp macro="" textlink="">
      <xdr:nvSpPr>
        <xdr:cNvPr id="14" name="Rectangle à coins arrondis 2">
          <a:hlinkClick xmlns:r="http://schemas.openxmlformats.org/officeDocument/2006/relationships" r:id="rId5" tooltip="Instructions"/>
        </xdr:cNvPr>
        <xdr:cNvSpPr>
          <a:spLocks noChangeArrowheads="1"/>
        </xdr:cNvSpPr>
      </xdr:nvSpPr>
      <xdr:spPr bwMode="auto">
        <a:xfrm>
          <a:off x="7124700" y="409572"/>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943634"/>
              </a:solidFill>
              <a:effectLst/>
              <a:latin typeface="Arial" panose="020B0604020202020204" pitchFamily="34" charset="0"/>
              <a:ea typeface="+mn-ea"/>
              <a:cs typeface="Arial" panose="020B0604020202020204" pitchFamily="34" charset="0"/>
            </a:rPr>
            <a:t>Instructions</a:t>
          </a:r>
          <a:endParaRPr lang="fr-FR" sz="1200" b="0" i="0" u="none" strike="noStrike" baseline="0">
            <a:solidFill>
              <a:srgbClr val="943634"/>
            </a:solidFill>
            <a:latin typeface="Arial" panose="020B0604020202020204" pitchFamily="34" charset="0"/>
            <a:cs typeface="Arial" panose="020B0604020202020204" pitchFamily="34" charset="0"/>
          </a:endParaRPr>
        </a:p>
      </xdr:txBody>
    </xdr:sp>
    <xdr:clientData/>
  </xdr:twoCellAnchor>
  <xdr:twoCellAnchor>
    <xdr:from>
      <xdr:col>9</xdr:col>
      <xdr:colOff>247650</xdr:colOff>
      <xdr:row>3</xdr:row>
      <xdr:rowOff>133350</xdr:rowOff>
    </xdr:from>
    <xdr:to>
      <xdr:col>11</xdr:col>
      <xdr:colOff>258900</xdr:colOff>
      <xdr:row>4</xdr:row>
      <xdr:rowOff>219225</xdr:rowOff>
    </xdr:to>
    <xdr:sp macro="" textlink="">
      <xdr:nvSpPr>
        <xdr:cNvPr id="16" name="Rectangle à coins arrondis 2">
          <a:hlinkClick xmlns:r="http://schemas.openxmlformats.org/officeDocument/2006/relationships" r:id="rId6" tooltip="Project Information"/>
        </xdr:cNvPr>
        <xdr:cNvSpPr>
          <a:spLocks noChangeArrowheads="1"/>
        </xdr:cNvSpPr>
      </xdr:nvSpPr>
      <xdr:spPr bwMode="auto">
        <a:xfrm>
          <a:off x="7124700" y="809625"/>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Project Information</a:t>
          </a:r>
        </a:p>
      </xdr:txBody>
    </xdr:sp>
    <xdr:clientData/>
  </xdr:twoCellAnchor>
  <xdr:twoCellAnchor>
    <xdr:from>
      <xdr:col>11</xdr:col>
      <xdr:colOff>362324</xdr:colOff>
      <xdr:row>3</xdr:row>
      <xdr:rowOff>133350</xdr:rowOff>
    </xdr:from>
    <xdr:to>
      <xdr:col>13</xdr:col>
      <xdr:colOff>373574</xdr:colOff>
      <xdr:row>4</xdr:row>
      <xdr:rowOff>219225</xdr:rowOff>
    </xdr:to>
    <xdr:sp macro="" textlink="">
      <xdr:nvSpPr>
        <xdr:cNvPr id="17" name="Rectangle à coins arrondis 2">
          <a:hlinkClick xmlns:r="http://schemas.openxmlformats.org/officeDocument/2006/relationships" r:id="rId7" tooltip="Graphical Results"/>
        </xdr:cNvPr>
        <xdr:cNvSpPr>
          <a:spLocks noChangeArrowheads="1"/>
        </xdr:cNvSpPr>
      </xdr:nvSpPr>
      <xdr:spPr bwMode="auto">
        <a:xfrm>
          <a:off x="8668124" y="885825"/>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Graphical Results </a:t>
          </a:r>
        </a:p>
      </xdr:txBody>
    </xdr:sp>
    <xdr:clientData/>
  </xdr:twoCellAnchor>
  <xdr:twoCellAnchor editAs="oneCell">
    <xdr:from>
      <xdr:col>1</xdr:col>
      <xdr:colOff>66675</xdr:colOff>
      <xdr:row>59</xdr:row>
      <xdr:rowOff>28575</xdr:rowOff>
    </xdr:from>
    <xdr:to>
      <xdr:col>8</xdr:col>
      <xdr:colOff>36195</xdr:colOff>
      <xdr:row>74</xdr:row>
      <xdr:rowOff>27940</xdr:rowOff>
    </xdr:to>
    <xdr:pic>
      <xdr:nvPicPr>
        <xdr:cNvPr id="15" name="Picture 14" descr="C:\Users\phong.vu\Downloads\LOTUS Homes Timeline.png"/>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14325" y="13306425"/>
          <a:ext cx="5732145" cy="2285365"/>
        </a:xfrm>
        <a:prstGeom prst="rect">
          <a:avLst/>
        </a:prstGeom>
        <a:noFill/>
        <a:ln w="6350">
          <a:solidFill>
            <a:schemeClr val="tx1">
              <a:lumMod val="50000"/>
              <a:lumOff val="50000"/>
            </a:schemeClr>
          </a:solidFill>
        </a:ln>
        <a:effectLst/>
      </xdr:spPr>
    </xdr:pic>
    <xdr:clientData/>
  </xdr:twoCellAnchor>
  <xdr:twoCellAnchor>
    <xdr:from>
      <xdr:col>13</xdr:col>
      <xdr:colOff>476250</xdr:colOff>
      <xdr:row>3</xdr:row>
      <xdr:rowOff>133350</xdr:rowOff>
    </xdr:from>
    <xdr:to>
      <xdr:col>15</xdr:col>
      <xdr:colOff>487500</xdr:colOff>
      <xdr:row>4</xdr:row>
      <xdr:rowOff>219225</xdr:rowOff>
    </xdr:to>
    <xdr:sp macro="" textlink="">
      <xdr:nvSpPr>
        <xdr:cNvPr id="12" name="Rectangle à coins arrondis 2">
          <a:hlinkClick xmlns:r="http://schemas.openxmlformats.org/officeDocument/2006/relationships" r:id="rId9" tooltip="Glossary"/>
        </xdr:cNvPr>
        <xdr:cNvSpPr>
          <a:spLocks noChangeArrowheads="1"/>
        </xdr:cNvSpPr>
      </xdr:nvSpPr>
      <xdr:spPr bwMode="auto">
        <a:xfrm>
          <a:off x="10210800" y="885825"/>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Glossary</a:t>
          </a:r>
        </a:p>
      </xdr:txBody>
    </xdr:sp>
    <xdr:clientData/>
  </xdr:twoCellAnchor>
  <xdr:twoCellAnchor>
    <xdr:from>
      <xdr:col>8</xdr:col>
      <xdr:colOff>495300</xdr:colOff>
      <xdr:row>2</xdr:row>
      <xdr:rowOff>161925</xdr:rowOff>
    </xdr:from>
    <xdr:to>
      <xdr:col>9</xdr:col>
      <xdr:colOff>76200</xdr:colOff>
      <xdr:row>4</xdr:row>
      <xdr:rowOff>47625</xdr:rowOff>
    </xdr:to>
    <xdr:sp macro="" textlink="">
      <xdr:nvSpPr>
        <xdr:cNvPr id="18" name="Up Arrow 17">
          <a:hlinkClick xmlns:r="http://schemas.openxmlformats.org/officeDocument/2006/relationships" r:id="rId10" tooltip="Back to top"/>
        </xdr:cNvPr>
        <xdr:cNvSpPr/>
      </xdr:nvSpPr>
      <xdr:spPr>
        <a:xfrm>
          <a:off x="6505575" y="600075"/>
          <a:ext cx="447675" cy="361950"/>
        </a:xfrm>
        <a:prstGeom prst="upArrow">
          <a:avLst/>
        </a:prstGeom>
        <a:solidFill>
          <a:schemeClr val="bg1">
            <a:lumMod val="95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FF0000"/>
            </a:solidFill>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2</xdr:col>
      <xdr:colOff>1276350</xdr:colOff>
      <xdr:row>1</xdr:row>
      <xdr:rowOff>133350</xdr:rowOff>
    </xdr:from>
    <xdr:to>
      <xdr:col>4</xdr:col>
      <xdr:colOff>645525</xdr:colOff>
      <xdr:row>3</xdr:row>
      <xdr:rowOff>76350</xdr:rowOff>
    </xdr:to>
    <xdr:sp macro="" textlink="">
      <xdr:nvSpPr>
        <xdr:cNvPr id="2" name="Rectangle à coins arrondis 2">
          <a:hlinkClick xmlns:r="http://schemas.openxmlformats.org/officeDocument/2006/relationships" r:id="rId1" tooltip="Scorecard"/>
        </xdr:cNvPr>
        <xdr:cNvSpPr>
          <a:spLocks noChangeArrowheads="1"/>
        </xdr:cNvSpPr>
      </xdr:nvSpPr>
      <xdr:spPr bwMode="auto">
        <a:xfrm>
          <a:off x="3067050" y="4572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1</xdr:col>
      <xdr:colOff>200025</xdr:colOff>
      <xdr:row>1</xdr:row>
      <xdr:rowOff>123825</xdr:rowOff>
    </xdr:from>
    <xdr:to>
      <xdr:col>2</xdr:col>
      <xdr:colOff>845550</xdr:colOff>
      <xdr:row>3</xdr:row>
      <xdr:rowOff>66825</xdr:rowOff>
    </xdr:to>
    <xdr:sp macro="" textlink="">
      <xdr:nvSpPr>
        <xdr:cNvPr id="3" name="Rectangle à coins arrondis 3">
          <a:hlinkClick xmlns:r="http://schemas.openxmlformats.org/officeDocument/2006/relationships" r:id="rId2" tooltip="Back to Materials"/>
        </xdr:cNvPr>
        <xdr:cNvSpPr>
          <a:spLocks noChangeArrowheads="1"/>
        </xdr:cNvSpPr>
      </xdr:nvSpPr>
      <xdr:spPr bwMode="auto">
        <a:xfrm>
          <a:off x="447675" y="447675"/>
          <a:ext cx="2188575"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editAs="oneCell">
    <xdr:from>
      <xdr:col>1</xdr:col>
      <xdr:colOff>19050</xdr:colOff>
      <xdr:row>17</xdr:row>
      <xdr:rowOff>66675</xdr:rowOff>
    </xdr:from>
    <xdr:to>
      <xdr:col>1</xdr:col>
      <xdr:colOff>415050</xdr:colOff>
      <xdr:row>19</xdr:row>
      <xdr:rowOff>100725</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700" y="3867150"/>
          <a:ext cx="396000" cy="396000"/>
        </a:xfrm>
        <a:prstGeom prst="rect">
          <a:avLst/>
        </a:prstGeom>
      </xdr:spPr>
    </xdr:pic>
    <xdr:clientData/>
  </xdr:twoCellAnchor>
  <xdr:twoCellAnchor editAs="oneCell">
    <xdr:from>
      <xdr:col>0</xdr:col>
      <xdr:colOff>352425</xdr:colOff>
      <xdr:row>14</xdr:row>
      <xdr:rowOff>76200</xdr:rowOff>
    </xdr:from>
    <xdr:to>
      <xdr:col>1</xdr:col>
      <xdr:colOff>432000</xdr:colOff>
      <xdr:row>16</xdr:row>
      <xdr:rowOff>127200</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3409950"/>
          <a:ext cx="432000" cy="432000"/>
        </a:xfrm>
        <a:prstGeom prst="rect">
          <a:avLst/>
        </a:prstGeom>
      </xdr:spPr>
    </xdr:pic>
    <xdr:clientData/>
  </xdr:twoCellAnchor>
  <xdr:twoCellAnchor editAs="oneCell">
    <xdr:from>
      <xdr:col>1</xdr:col>
      <xdr:colOff>38100</xdr:colOff>
      <xdr:row>21</xdr:row>
      <xdr:rowOff>76200</xdr:rowOff>
    </xdr:from>
    <xdr:to>
      <xdr:col>1</xdr:col>
      <xdr:colOff>658818</xdr:colOff>
      <xdr:row>24</xdr:row>
      <xdr:rowOff>116700</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5750" y="4533900"/>
          <a:ext cx="620718" cy="612000"/>
        </a:xfrm>
        <a:prstGeom prst="rect">
          <a:avLst/>
        </a:prstGeom>
      </xdr:spPr>
    </xdr:pic>
    <xdr:clientData/>
  </xdr:twoCellAnchor>
  <xdr:twoCellAnchor editAs="oneCell">
    <xdr:from>
      <xdr:col>1</xdr:col>
      <xdr:colOff>19050</xdr:colOff>
      <xdr:row>26</xdr:row>
      <xdr:rowOff>76200</xdr:rowOff>
    </xdr:from>
    <xdr:to>
      <xdr:col>1</xdr:col>
      <xdr:colOff>415050</xdr:colOff>
      <xdr:row>28</xdr:row>
      <xdr:rowOff>91200</xdr:rowOff>
    </xdr:to>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6700" y="5486400"/>
          <a:ext cx="396000" cy="396000"/>
        </a:xfrm>
        <a:prstGeom prst="rect">
          <a:avLst/>
        </a:prstGeom>
      </xdr:spPr>
    </xdr:pic>
    <xdr:clientData/>
  </xdr:twoCellAnchor>
  <xdr:twoCellAnchor editAs="oneCell">
    <xdr:from>
      <xdr:col>1</xdr:col>
      <xdr:colOff>28575</xdr:colOff>
      <xdr:row>34</xdr:row>
      <xdr:rowOff>95250</xdr:rowOff>
    </xdr:from>
    <xdr:to>
      <xdr:col>1</xdr:col>
      <xdr:colOff>424575</xdr:colOff>
      <xdr:row>36</xdr:row>
      <xdr:rowOff>110250</xdr:rowOff>
    </xdr:to>
    <xdr:pic>
      <xdr:nvPicPr>
        <xdr:cNvPr id="8" name="Picture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225" y="7067550"/>
          <a:ext cx="396000" cy="396000"/>
        </a:xfrm>
        <a:prstGeom prst="rect">
          <a:avLst/>
        </a:prstGeom>
      </xdr:spPr>
    </xdr:pic>
    <xdr:clientData/>
  </xdr:twoCellAnchor>
  <xdr:twoCellAnchor editAs="oneCell">
    <xdr:from>
      <xdr:col>1</xdr:col>
      <xdr:colOff>9525</xdr:colOff>
      <xdr:row>32</xdr:row>
      <xdr:rowOff>0</xdr:rowOff>
    </xdr:from>
    <xdr:to>
      <xdr:col>1</xdr:col>
      <xdr:colOff>405525</xdr:colOff>
      <xdr:row>34</xdr:row>
      <xdr:rowOff>15000</xdr:rowOff>
    </xdr:to>
    <xdr:pic>
      <xdr:nvPicPr>
        <xdr:cNvPr id="9" name="Picture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7175" y="6591300"/>
          <a:ext cx="396000" cy="396000"/>
        </a:xfrm>
        <a:prstGeom prst="rect">
          <a:avLst/>
        </a:prstGeom>
      </xdr:spPr>
    </xdr:pic>
    <xdr:clientData/>
  </xdr:twoCellAnchor>
  <xdr:twoCellAnchor>
    <xdr:from>
      <xdr:col>6</xdr:col>
      <xdr:colOff>1143000</xdr:colOff>
      <xdr:row>1</xdr:row>
      <xdr:rowOff>104775</xdr:rowOff>
    </xdr:from>
    <xdr:to>
      <xdr:col>7</xdr:col>
      <xdr:colOff>409575</xdr:colOff>
      <xdr:row>3</xdr:row>
      <xdr:rowOff>76200</xdr:rowOff>
    </xdr:to>
    <xdr:sp macro="" textlink="">
      <xdr:nvSpPr>
        <xdr:cNvPr id="10" name="Up Arrow 9">
          <a:hlinkClick xmlns:r="http://schemas.openxmlformats.org/officeDocument/2006/relationships" r:id="rId7" tooltip="Back to top"/>
        </xdr:cNvPr>
        <xdr:cNvSpPr/>
      </xdr:nvSpPr>
      <xdr:spPr>
        <a:xfrm>
          <a:off x="8524875" y="40957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xdr:col>
      <xdr:colOff>1276350</xdr:colOff>
      <xdr:row>1</xdr:row>
      <xdr:rowOff>123825</xdr:rowOff>
    </xdr:from>
    <xdr:to>
      <xdr:col>4</xdr:col>
      <xdr:colOff>845550</xdr:colOff>
      <xdr:row>3</xdr:row>
      <xdr:rowOff>66825</xdr:rowOff>
    </xdr:to>
    <xdr:sp macro="" textlink="">
      <xdr:nvSpPr>
        <xdr:cNvPr id="2" name="Rectangle à coins arrondis 2">
          <a:hlinkClick xmlns:r="http://schemas.openxmlformats.org/officeDocument/2006/relationships" r:id="rId1" tooltip="Scorecard"/>
        </xdr:cNvPr>
        <xdr:cNvSpPr>
          <a:spLocks noChangeArrowheads="1"/>
        </xdr:cNvSpPr>
      </xdr:nvSpPr>
      <xdr:spPr bwMode="auto">
        <a:xfrm>
          <a:off x="3067050" y="4476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1</xdr:col>
      <xdr:colOff>200025</xdr:colOff>
      <xdr:row>1</xdr:row>
      <xdr:rowOff>123825</xdr:rowOff>
    </xdr:from>
    <xdr:to>
      <xdr:col>2</xdr:col>
      <xdr:colOff>845550</xdr:colOff>
      <xdr:row>3</xdr:row>
      <xdr:rowOff>66825</xdr:rowOff>
    </xdr:to>
    <xdr:sp macro="" textlink="">
      <xdr:nvSpPr>
        <xdr:cNvPr id="3" name="Rectangle à coins arrondis 3">
          <a:hlinkClick xmlns:r="http://schemas.openxmlformats.org/officeDocument/2006/relationships" r:id="rId2" tooltip="Back to Materials"/>
        </xdr:cNvPr>
        <xdr:cNvSpPr>
          <a:spLocks noChangeArrowheads="1"/>
        </xdr:cNvSpPr>
      </xdr:nvSpPr>
      <xdr:spPr bwMode="auto">
        <a:xfrm>
          <a:off x="447675" y="447675"/>
          <a:ext cx="2188575"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editAs="oneCell">
    <xdr:from>
      <xdr:col>1</xdr:col>
      <xdr:colOff>38100</xdr:colOff>
      <xdr:row>24</xdr:row>
      <xdr:rowOff>180975</xdr:rowOff>
    </xdr:from>
    <xdr:to>
      <xdr:col>1</xdr:col>
      <xdr:colOff>658818</xdr:colOff>
      <xdr:row>28</xdr:row>
      <xdr:rowOff>30975</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85750" y="5353050"/>
          <a:ext cx="620718" cy="612000"/>
        </a:xfrm>
        <a:prstGeom prst="rect">
          <a:avLst/>
        </a:prstGeom>
      </xdr:spPr>
    </xdr:pic>
    <xdr:clientData/>
  </xdr:twoCellAnchor>
  <xdr:twoCellAnchor editAs="oneCell">
    <xdr:from>
      <xdr:col>1</xdr:col>
      <xdr:colOff>9525</xdr:colOff>
      <xdr:row>14</xdr:row>
      <xdr:rowOff>95250</xdr:rowOff>
    </xdr:from>
    <xdr:to>
      <xdr:col>1</xdr:col>
      <xdr:colOff>405525</xdr:colOff>
      <xdr:row>16</xdr:row>
      <xdr:rowOff>110250</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5" y="3362325"/>
          <a:ext cx="396000" cy="396000"/>
        </a:xfrm>
        <a:prstGeom prst="rect">
          <a:avLst/>
        </a:prstGeom>
      </xdr:spPr>
    </xdr:pic>
    <xdr:clientData/>
  </xdr:twoCellAnchor>
  <xdr:twoCellAnchor editAs="oneCell">
    <xdr:from>
      <xdr:col>1</xdr:col>
      <xdr:colOff>0</xdr:colOff>
      <xdr:row>32</xdr:row>
      <xdr:rowOff>95250</xdr:rowOff>
    </xdr:from>
    <xdr:to>
      <xdr:col>1</xdr:col>
      <xdr:colOff>396000</xdr:colOff>
      <xdr:row>34</xdr:row>
      <xdr:rowOff>110250</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7650" y="6886575"/>
          <a:ext cx="396000" cy="396000"/>
        </a:xfrm>
        <a:prstGeom prst="rect">
          <a:avLst/>
        </a:prstGeom>
      </xdr:spPr>
    </xdr:pic>
    <xdr:clientData/>
  </xdr:twoCellAnchor>
  <xdr:twoCellAnchor editAs="oneCell">
    <xdr:from>
      <xdr:col>1</xdr:col>
      <xdr:colOff>0</xdr:colOff>
      <xdr:row>16</xdr:row>
      <xdr:rowOff>209550</xdr:rowOff>
    </xdr:from>
    <xdr:to>
      <xdr:col>1</xdr:col>
      <xdr:colOff>396000</xdr:colOff>
      <xdr:row>18</xdr:row>
      <xdr:rowOff>186450</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7650" y="3857625"/>
          <a:ext cx="396000" cy="396000"/>
        </a:xfrm>
        <a:prstGeom prst="rect">
          <a:avLst/>
        </a:prstGeom>
      </xdr:spPr>
    </xdr:pic>
    <xdr:clientData/>
  </xdr:twoCellAnchor>
  <xdr:twoCellAnchor editAs="oneCell">
    <xdr:from>
      <xdr:col>1</xdr:col>
      <xdr:colOff>0</xdr:colOff>
      <xdr:row>35</xdr:row>
      <xdr:rowOff>57150</xdr:rowOff>
    </xdr:from>
    <xdr:to>
      <xdr:col>1</xdr:col>
      <xdr:colOff>438153</xdr:colOff>
      <xdr:row>37</xdr:row>
      <xdr:rowOff>108150</xdr:rowOff>
    </xdr:to>
    <xdr:pic>
      <xdr:nvPicPr>
        <xdr:cNvPr id="8" name="Picture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7650" y="7400925"/>
          <a:ext cx="438153" cy="432000"/>
        </a:xfrm>
        <a:prstGeom prst="rect">
          <a:avLst/>
        </a:prstGeom>
      </xdr:spPr>
    </xdr:pic>
    <xdr:clientData/>
  </xdr:twoCellAnchor>
  <xdr:twoCellAnchor editAs="oneCell">
    <xdr:from>
      <xdr:col>1</xdr:col>
      <xdr:colOff>38100</xdr:colOff>
      <xdr:row>38</xdr:row>
      <xdr:rowOff>85725</xdr:rowOff>
    </xdr:from>
    <xdr:to>
      <xdr:col>1</xdr:col>
      <xdr:colOff>434100</xdr:colOff>
      <xdr:row>40</xdr:row>
      <xdr:rowOff>100725</xdr:rowOff>
    </xdr:to>
    <xdr:pic>
      <xdr:nvPicPr>
        <xdr:cNvPr id="9" name="Picture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85750" y="8001000"/>
          <a:ext cx="396000" cy="396000"/>
        </a:xfrm>
        <a:prstGeom prst="rect">
          <a:avLst/>
        </a:prstGeom>
      </xdr:spPr>
    </xdr:pic>
    <xdr:clientData/>
  </xdr:twoCellAnchor>
  <xdr:twoCellAnchor>
    <xdr:from>
      <xdr:col>6</xdr:col>
      <xdr:colOff>1143000</xdr:colOff>
      <xdr:row>1</xdr:row>
      <xdr:rowOff>104775</xdr:rowOff>
    </xdr:from>
    <xdr:to>
      <xdr:col>7</xdr:col>
      <xdr:colOff>409575</xdr:colOff>
      <xdr:row>3</xdr:row>
      <xdr:rowOff>76200</xdr:rowOff>
    </xdr:to>
    <xdr:sp macro="" textlink="">
      <xdr:nvSpPr>
        <xdr:cNvPr id="10" name="Up Arrow 9">
          <a:hlinkClick xmlns:r="http://schemas.openxmlformats.org/officeDocument/2006/relationships" r:id="rId8" tooltip="Back to top"/>
        </xdr:cNvPr>
        <xdr:cNvSpPr/>
      </xdr:nvSpPr>
      <xdr:spPr>
        <a:xfrm>
          <a:off x="8524875" y="40957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1276350</xdr:colOff>
      <xdr:row>1</xdr:row>
      <xdr:rowOff>133350</xdr:rowOff>
    </xdr:from>
    <xdr:to>
      <xdr:col>4</xdr:col>
      <xdr:colOff>750300</xdr:colOff>
      <xdr:row>3</xdr:row>
      <xdr:rowOff>76350</xdr:rowOff>
    </xdr:to>
    <xdr:sp macro="" textlink="">
      <xdr:nvSpPr>
        <xdr:cNvPr id="2" name="Rectangle à coins arrondis 2">
          <a:hlinkClick xmlns:r="http://schemas.openxmlformats.org/officeDocument/2006/relationships" r:id="rId1" tooltip="Scorecard"/>
        </xdr:cNvPr>
        <xdr:cNvSpPr>
          <a:spLocks noChangeArrowheads="1"/>
        </xdr:cNvSpPr>
      </xdr:nvSpPr>
      <xdr:spPr bwMode="auto">
        <a:xfrm>
          <a:off x="3067050" y="457200"/>
          <a:ext cx="226477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1</xdr:col>
      <xdr:colOff>200025</xdr:colOff>
      <xdr:row>1</xdr:row>
      <xdr:rowOff>123825</xdr:rowOff>
    </xdr:from>
    <xdr:to>
      <xdr:col>2</xdr:col>
      <xdr:colOff>816975</xdr:colOff>
      <xdr:row>3</xdr:row>
      <xdr:rowOff>66825</xdr:rowOff>
    </xdr:to>
    <xdr:sp macro="" textlink="">
      <xdr:nvSpPr>
        <xdr:cNvPr id="3" name="Rectangle à coins arrondis 3">
          <a:hlinkClick xmlns:r="http://schemas.openxmlformats.org/officeDocument/2006/relationships" r:id="rId2" tooltip="Back to Materials"/>
        </xdr:cNvPr>
        <xdr:cNvSpPr>
          <a:spLocks noChangeArrowheads="1"/>
        </xdr:cNvSpPr>
      </xdr:nvSpPr>
      <xdr:spPr bwMode="auto">
        <a:xfrm>
          <a:off x="447675" y="447675"/>
          <a:ext cx="21600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editAs="oneCell">
    <xdr:from>
      <xdr:col>1</xdr:col>
      <xdr:colOff>19050</xdr:colOff>
      <xdr:row>14</xdr:row>
      <xdr:rowOff>85725</xdr:rowOff>
    </xdr:from>
    <xdr:to>
      <xdr:col>1</xdr:col>
      <xdr:colOff>415050</xdr:colOff>
      <xdr:row>16</xdr:row>
      <xdr:rowOff>100725</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700" y="3305175"/>
          <a:ext cx="396000" cy="396000"/>
        </a:xfrm>
        <a:prstGeom prst="rect">
          <a:avLst/>
        </a:prstGeom>
      </xdr:spPr>
    </xdr:pic>
    <xdr:clientData/>
  </xdr:twoCellAnchor>
  <xdr:twoCellAnchor editAs="oneCell">
    <xdr:from>
      <xdr:col>1</xdr:col>
      <xdr:colOff>38100</xdr:colOff>
      <xdr:row>34</xdr:row>
      <xdr:rowOff>133350</xdr:rowOff>
    </xdr:from>
    <xdr:to>
      <xdr:col>1</xdr:col>
      <xdr:colOff>434100</xdr:colOff>
      <xdr:row>36</xdr:row>
      <xdr:rowOff>110250</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7324725"/>
          <a:ext cx="396000" cy="396000"/>
        </a:xfrm>
        <a:prstGeom prst="rect">
          <a:avLst/>
        </a:prstGeom>
      </xdr:spPr>
    </xdr:pic>
    <xdr:clientData/>
  </xdr:twoCellAnchor>
  <xdr:twoCellAnchor editAs="oneCell">
    <xdr:from>
      <xdr:col>1</xdr:col>
      <xdr:colOff>9525</xdr:colOff>
      <xdr:row>17</xdr:row>
      <xdr:rowOff>0</xdr:rowOff>
    </xdr:from>
    <xdr:to>
      <xdr:col>1</xdr:col>
      <xdr:colOff>405525</xdr:colOff>
      <xdr:row>19</xdr:row>
      <xdr:rowOff>15000</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7175" y="3790950"/>
          <a:ext cx="396000" cy="396000"/>
        </a:xfrm>
        <a:prstGeom prst="rect">
          <a:avLst/>
        </a:prstGeom>
      </xdr:spPr>
    </xdr:pic>
    <xdr:clientData/>
  </xdr:twoCellAnchor>
  <xdr:twoCellAnchor editAs="oneCell">
    <xdr:from>
      <xdr:col>1</xdr:col>
      <xdr:colOff>38100</xdr:colOff>
      <xdr:row>21</xdr:row>
      <xdr:rowOff>85725</xdr:rowOff>
    </xdr:from>
    <xdr:to>
      <xdr:col>1</xdr:col>
      <xdr:colOff>658818</xdr:colOff>
      <xdr:row>24</xdr:row>
      <xdr:rowOff>126225</xdr:rowOff>
    </xdr:to>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0" y="4610100"/>
          <a:ext cx="620718" cy="612000"/>
        </a:xfrm>
        <a:prstGeom prst="rect">
          <a:avLst/>
        </a:prstGeom>
      </xdr:spPr>
    </xdr:pic>
    <xdr:clientData/>
  </xdr:twoCellAnchor>
  <xdr:twoCellAnchor editAs="oneCell">
    <xdr:from>
      <xdr:col>1</xdr:col>
      <xdr:colOff>19050</xdr:colOff>
      <xdr:row>28</xdr:row>
      <xdr:rowOff>95250</xdr:rowOff>
    </xdr:from>
    <xdr:to>
      <xdr:col>1</xdr:col>
      <xdr:colOff>415050</xdr:colOff>
      <xdr:row>30</xdr:row>
      <xdr:rowOff>110250</xdr:rowOff>
    </xdr:to>
    <xdr:pic>
      <xdr:nvPicPr>
        <xdr:cNvPr id="8" name="Picture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6700" y="6048375"/>
          <a:ext cx="396000" cy="396000"/>
        </a:xfrm>
        <a:prstGeom prst="rect">
          <a:avLst/>
        </a:prstGeom>
      </xdr:spPr>
    </xdr:pic>
    <xdr:clientData/>
  </xdr:twoCellAnchor>
  <xdr:twoCellAnchor editAs="oneCell">
    <xdr:from>
      <xdr:col>1</xdr:col>
      <xdr:colOff>9528</xdr:colOff>
      <xdr:row>31</xdr:row>
      <xdr:rowOff>95250</xdr:rowOff>
    </xdr:from>
    <xdr:to>
      <xdr:col>1</xdr:col>
      <xdr:colOff>447681</xdr:colOff>
      <xdr:row>33</xdr:row>
      <xdr:rowOff>127200</xdr:rowOff>
    </xdr:to>
    <xdr:pic>
      <xdr:nvPicPr>
        <xdr:cNvPr id="9" name="Picture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57178" y="6657975"/>
          <a:ext cx="438153" cy="432000"/>
        </a:xfrm>
        <a:prstGeom prst="rect">
          <a:avLst/>
        </a:prstGeom>
      </xdr:spPr>
    </xdr:pic>
    <xdr:clientData/>
  </xdr:twoCellAnchor>
  <xdr:twoCellAnchor>
    <xdr:from>
      <xdr:col>6</xdr:col>
      <xdr:colOff>1143000</xdr:colOff>
      <xdr:row>1</xdr:row>
      <xdr:rowOff>104775</xdr:rowOff>
    </xdr:from>
    <xdr:to>
      <xdr:col>7</xdr:col>
      <xdr:colOff>409575</xdr:colOff>
      <xdr:row>3</xdr:row>
      <xdr:rowOff>76200</xdr:rowOff>
    </xdr:to>
    <xdr:sp macro="" textlink="">
      <xdr:nvSpPr>
        <xdr:cNvPr id="10" name="Up Arrow 9">
          <a:hlinkClick xmlns:r="http://schemas.openxmlformats.org/officeDocument/2006/relationships" r:id="rId8" tooltip="Back to top"/>
        </xdr:cNvPr>
        <xdr:cNvSpPr/>
      </xdr:nvSpPr>
      <xdr:spPr>
        <a:xfrm>
          <a:off x="7886700" y="40957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xdr:col>
      <xdr:colOff>1276350</xdr:colOff>
      <xdr:row>1</xdr:row>
      <xdr:rowOff>133350</xdr:rowOff>
    </xdr:from>
    <xdr:to>
      <xdr:col>4</xdr:col>
      <xdr:colOff>750300</xdr:colOff>
      <xdr:row>3</xdr:row>
      <xdr:rowOff>76350</xdr:rowOff>
    </xdr:to>
    <xdr:sp macro="" textlink="">
      <xdr:nvSpPr>
        <xdr:cNvPr id="2" name="Rectangle à coins arrondis 2">
          <a:hlinkClick xmlns:r="http://schemas.openxmlformats.org/officeDocument/2006/relationships" r:id="rId1" tooltip="Scorecard"/>
        </xdr:cNvPr>
        <xdr:cNvSpPr>
          <a:spLocks noChangeArrowheads="1"/>
        </xdr:cNvSpPr>
      </xdr:nvSpPr>
      <xdr:spPr bwMode="auto">
        <a:xfrm>
          <a:off x="3067050" y="457200"/>
          <a:ext cx="226477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1</xdr:col>
      <xdr:colOff>200025</xdr:colOff>
      <xdr:row>1</xdr:row>
      <xdr:rowOff>123825</xdr:rowOff>
    </xdr:from>
    <xdr:to>
      <xdr:col>2</xdr:col>
      <xdr:colOff>816975</xdr:colOff>
      <xdr:row>3</xdr:row>
      <xdr:rowOff>66825</xdr:rowOff>
    </xdr:to>
    <xdr:sp macro="" textlink="">
      <xdr:nvSpPr>
        <xdr:cNvPr id="3" name="Rectangle à coins arrondis 3">
          <a:hlinkClick xmlns:r="http://schemas.openxmlformats.org/officeDocument/2006/relationships" r:id="rId2" tooltip="Back to Materials"/>
        </xdr:cNvPr>
        <xdr:cNvSpPr>
          <a:spLocks noChangeArrowheads="1"/>
        </xdr:cNvSpPr>
      </xdr:nvSpPr>
      <xdr:spPr bwMode="auto">
        <a:xfrm>
          <a:off x="447675" y="447675"/>
          <a:ext cx="2160000" cy="324000"/>
        </a:xfrm>
        <a:prstGeom prst="roundRect">
          <a:avLst>
            <a:gd name="adj" fmla="val 16667"/>
          </a:avLst>
        </a:prstGeom>
        <a:solidFill>
          <a:srgbClr val="5F497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Materials</a:t>
          </a:r>
        </a:p>
      </xdr:txBody>
    </xdr:sp>
    <xdr:clientData/>
  </xdr:twoCellAnchor>
  <xdr:twoCellAnchor editAs="oneCell">
    <xdr:from>
      <xdr:col>1</xdr:col>
      <xdr:colOff>9525</xdr:colOff>
      <xdr:row>14</xdr:row>
      <xdr:rowOff>85725</xdr:rowOff>
    </xdr:from>
    <xdr:to>
      <xdr:col>1</xdr:col>
      <xdr:colOff>405525</xdr:colOff>
      <xdr:row>16</xdr:row>
      <xdr:rowOff>100725</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7175" y="3248025"/>
          <a:ext cx="396000" cy="396000"/>
        </a:xfrm>
        <a:prstGeom prst="rect">
          <a:avLst/>
        </a:prstGeom>
      </xdr:spPr>
    </xdr:pic>
    <xdr:clientData/>
  </xdr:twoCellAnchor>
  <xdr:twoCellAnchor editAs="oneCell">
    <xdr:from>
      <xdr:col>1</xdr:col>
      <xdr:colOff>38100</xdr:colOff>
      <xdr:row>28</xdr:row>
      <xdr:rowOff>133350</xdr:rowOff>
    </xdr:from>
    <xdr:to>
      <xdr:col>1</xdr:col>
      <xdr:colOff>434100</xdr:colOff>
      <xdr:row>30</xdr:row>
      <xdr:rowOff>100725</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6162675"/>
          <a:ext cx="396000" cy="396000"/>
        </a:xfrm>
        <a:prstGeom prst="rect">
          <a:avLst/>
        </a:prstGeom>
      </xdr:spPr>
    </xdr:pic>
    <xdr:clientData/>
  </xdr:twoCellAnchor>
  <xdr:twoCellAnchor editAs="oneCell">
    <xdr:from>
      <xdr:col>1</xdr:col>
      <xdr:colOff>38100</xdr:colOff>
      <xdr:row>26</xdr:row>
      <xdr:rowOff>85725</xdr:rowOff>
    </xdr:from>
    <xdr:to>
      <xdr:col>1</xdr:col>
      <xdr:colOff>434100</xdr:colOff>
      <xdr:row>28</xdr:row>
      <xdr:rowOff>100725</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5750" y="5734050"/>
          <a:ext cx="396000" cy="396000"/>
        </a:xfrm>
        <a:prstGeom prst="rect">
          <a:avLst/>
        </a:prstGeom>
      </xdr:spPr>
    </xdr:pic>
    <xdr:clientData/>
  </xdr:twoCellAnchor>
  <xdr:twoCellAnchor editAs="oneCell">
    <xdr:from>
      <xdr:col>1</xdr:col>
      <xdr:colOff>9525</xdr:colOff>
      <xdr:row>16</xdr:row>
      <xdr:rowOff>142875</xdr:rowOff>
    </xdr:from>
    <xdr:to>
      <xdr:col>1</xdr:col>
      <xdr:colOff>405525</xdr:colOff>
      <xdr:row>18</xdr:row>
      <xdr:rowOff>110250</xdr:rowOff>
    </xdr:to>
    <xdr:pic>
      <xdr:nvPicPr>
        <xdr:cNvPr id="8" name="Picture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7175" y="3686175"/>
          <a:ext cx="396000" cy="396000"/>
        </a:xfrm>
        <a:prstGeom prst="rect">
          <a:avLst/>
        </a:prstGeom>
      </xdr:spPr>
    </xdr:pic>
    <xdr:clientData/>
  </xdr:twoCellAnchor>
  <xdr:twoCellAnchor editAs="oneCell">
    <xdr:from>
      <xdr:col>1</xdr:col>
      <xdr:colOff>38101</xdr:colOff>
      <xdr:row>20</xdr:row>
      <xdr:rowOff>0</xdr:rowOff>
    </xdr:from>
    <xdr:to>
      <xdr:col>1</xdr:col>
      <xdr:colOff>622306</xdr:colOff>
      <xdr:row>23</xdr:row>
      <xdr:rowOff>4500</xdr:rowOff>
    </xdr:to>
    <xdr:pic>
      <xdr:nvPicPr>
        <xdr:cNvPr id="9" name="Picture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85751" y="4410075"/>
          <a:ext cx="584205" cy="576000"/>
        </a:xfrm>
        <a:prstGeom prst="rect">
          <a:avLst/>
        </a:prstGeom>
      </xdr:spPr>
    </xdr:pic>
    <xdr:clientData/>
  </xdr:twoCellAnchor>
  <xdr:twoCellAnchor>
    <xdr:from>
      <xdr:col>6</xdr:col>
      <xdr:colOff>1238250</xdr:colOff>
      <xdr:row>1</xdr:row>
      <xdr:rowOff>104775</xdr:rowOff>
    </xdr:from>
    <xdr:to>
      <xdr:col>7</xdr:col>
      <xdr:colOff>419100</xdr:colOff>
      <xdr:row>3</xdr:row>
      <xdr:rowOff>76200</xdr:rowOff>
    </xdr:to>
    <xdr:sp macro="" textlink="">
      <xdr:nvSpPr>
        <xdr:cNvPr id="11" name="Up Arrow 10">
          <a:hlinkClick xmlns:r="http://schemas.openxmlformats.org/officeDocument/2006/relationships" r:id="rId7" tooltip="Back to top"/>
        </xdr:cNvPr>
        <xdr:cNvSpPr/>
      </xdr:nvSpPr>
      <xdr:spPr>
        <a:xfrm>
          <a:off x="8143875" y="428625"/>
          <a:ext cx="447675" cy="352425"/>
        </a:xfrm>
        <a:prstGeom prst="upArrow">
          <a:avLst/>
        </a:prstGeom>
        <a:solidFill>
          <a:srgbClr val="5F497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127000</xdr:colOff>
      <xdr:row>0</xdr:row>
      <xdr:rowOff>21166</xdr:rowOff>
    </xdr:from>
    <xdr:to>
      <xdr:col>11</xdr:col>
      <xdr:colOff>158623</xdr:colOff>
      <xdr:row>2</xdr:row>
      <xdr:rowOff>157983</xdr:rowOff>
    </xdr:to>
    <xdr:pic>
      <xdr:nvPicPr>
        <xdr:cNvPr id="5" name="Image 2" descr="HC.png"/>
        <xdr:cNvPicPr>
          <a:picLocks noChangeAspect="1"/>
        </xdr:cNvPicPr>
      </xdr:nvPicPr>
      <xdr:blipFill>
        <a:blip xmlns:r="http://schemas.openxmlformats.org/officeDocument/2006/relationships" r:embed="rId1" cstate="print"/>
        <a:srcRect/>
        <a:stretch>
          <a:fillRect/>
        </a:stretch>
      </xdr:blipFill>
      <xdr:spPr bwMode="auto">
        <a:xfrm>
          <a:off x="10488083" y="21166"/>
          <a:ext cx="888873" cy="898817"/>
        </a:xfrm>
        <a:prstGeom prst="rect">
          <a:avLst/>
        </a:prstGeom>
        <a:noFill/>
        <a:ln w="9525">
          <a:noFill/>
          <a:miter lim="800000"/>
          <a:headEnd/>
          <a:tailEnd/>
        </a:ln>
      </xdr:spPr>
    </xdr:pic>
    <xdr:clientData/>
  </xdr:twoCellAnchor>
  <xdr:twoCellAnchor>
    <xdr:from>
      <xdr:col>0</xdr:col>
      <xdr:colOff>359832</xdr:colOff>
      <xdr:row>12</xdr:row>
      <xdr:rowOff>84664</xdr:rowOff>
    </xdr:from>
    <xdr:to>
      <xdr:col>1</xdr:col>
      <xdr:colOff>1958832</xdr:colOff>
      <xdr:row>14</xdr:row>
      <xdr:rowOff>99664</xdr:rowOff>
    </xdr:to>
    <xdr:sp macro="" textlink="">
      <xdr:nvSpPr>
        <xdr:cNvPr id="4" name="Rectangle à coins arrondis 2">
          <a:hlinkClick xmlns:r="http://schemas.openxmlformats.org/officeDocument/2006/relationships" r:id="rId2" tooltip="Scorecard"/>
        </xdr:cNvPr>
        <xdr:cNvSpPr>
          <a:spLocks noChangeArrowheads="1"/>
        </xdr:cNvSpPr>
      </xdr:nvSpPr>
      <xdr:spPr bwMode="auto">
        <a:xfrm>
          <a:off x="359832" y="3555997"/>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361950</xdr:colOff>
      <xdr:row>1</xdr:row>
      <xdr:rowOff>133351</xdr:rowOff>
    </xdr:from>
    <xdr:to>
      <xdr:col>2</xdr:col>
      <xdr:colOff>740775</xdr:colOff>
      <xdr:row>3</xdr:row>
      <xdr:rowOff>76351</xdr:rowOff>
    </xdr:to>
    <xdr:sp macro="" textlink="">
      <xdr:nvSpPr>
        <xdr:cNvPr id="2" name="Rectangle à coins arrondis 2">
          <a:hlinkClick xmlns:r="http://schemas.openxmlformats.org/officeDocument/2006/relationships" r:id="rId1" tooltip="Back to H&amp;C"/>
        </xdr:cNvPr>
        <xdr:cNvSpPr>
          <a:spLocks noChangeArrowheads="1"/>
        </xdr:cNvSpPr>
      </xdr:nvSpPr>
      <xdr:spPr bwMode="auto">
        <a:xfrm>
          <a:off x="361950" y="428626"/>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76199</xdr:colOff>
      <xdr:row>1</xdr:row>
      <xdr:rowOff>123825</xdr:rowOff>
    </xdr:from>
    <xdr:to>
      <xdr:col>4</xdr:col>
      <xdr:colOff>797924</xdr:colOff>
      <xdr:row>3</xdr:row>
      <xdr:rowOff>66825</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248024" y="4191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8</xdr:col>
      <xdr:colOff>28575</xdr:colOff>
      <xdr:row>1</xdr:row>
      <xdr:rowOff>114300</xdr:rowOff>
    </xdr:from>
    <xdr:to>
      <xdr:col>8</xdr:col>
      <xdr:colOff>460575</xdr:colOff>
      <xdr:row>3</xdr:row>
      <xdr:rowOff>85725</xdr:rowOff>
    </xdr:to>
    <xdr:sp macro="" textlink="">
      <xdr:nvSpPr>
        <xdr:cNvPr id="9" name="Up Arrow 8">
          <a:hlinkClick xmlns:r="http://schemas.openxmlformats.org/officeDocument/2006/relationships" r:id="rId3" tooltip="Back to top"/>
        </xdr:cNvPr>
        <xdr:cNvSpPr/>
      </xdr:nvSpPr>
      <xdr:spPr>
        <a:xfrm>
          <a:off x="9896475" y="409575"/>
          <a:ext cx="432000"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28575</xdr:colOff>
      <xdr:row>32</xdr:row>
      <xdr:rowOff>76200</xdr:rowOff>
    </xdr:from>
    <xdr:to>
      <xdr:col>1</xdr:col>
      <xdr:colOff>388575</xdr:colOff>
      <xdr:row>34</xdr:row>
      <xdr:rowOff>93300</xdr:rowOff>
    </xdr:to>
    <xdr:pic>
      <xdr:nvPicPr>
        <xdr:cNvPr id="16" name="Picture 1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7038975"/>
          <a:ext cx="360000" cy="360000"/>
        </a:xfrm>
        <a:prstGeom prst="rect">
          <a:avLst/>
        </a:prstGeom>
      </xdr:spPr>
    </xdr:pic>
    <xdr:clientData/>
  </xdr:twoCellAnchor>
  <xdr:oneCellAnchor>
    <xdr:from>
      <xdr:col>1</xdr:col>
      <xdr:colOff>9525</xdr:colOff>
      <xdr:row>14</xdr:row>
      <xdr:rowOff>76200</xdr:rowOff>
    </xdr:from>
    <xdr:ext cx="396000" cy="396000"/>
    <xdr:pic>
      <xdr:nvPicPr>
        <xdr:cNvPr id="17" name="Picture 1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0050" y="3095625"/>
          <a:ext cx="396000" cy="396000"/>
        </a:xfrm>
        <a:prstGeom prst="rect">
          <a:avLst/>
        </a:prstGeom>
      </xdr:spPr>
    </xdr:pic>
    <xdr:clientData/>
  </xdr:oneCellAnchor>
  <xdr:oneCellAnchor>
    <xdr:from>
      <xdr:col>1</xdr:col>
      <xdr:colOff>38100</xdr:colOff>
      <xdr:row>34</xdr:row>
      <xdr:rowOff>142875</xdr:rowOff>
    </xdr:from>
    <xdr:ext cx="360000" cy="360000"/>
    <xdr:pic>
      <xdr:nvPicPr>
        <xdr:cNvPr id="18" name="Picture 1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8625" y="7448550"/>
          <a:ext cx="360000" cy="360000"/>
        </a:xfrm>
        <a:prstGeom prst="rect">
          <a:avLst/>
        </a:prstGeom>
      </xdr:spPr>
    </xdr:pic>
    <xdr:clientData/>
  </xdr:oneCellAnchor>
  <xdr:twoCellAnchor editAs="oneCell">
    <xdr:from>
      <xdr:col>1</xdr:col>
      <xdr:colOff>38100</xdr:colOff>
      <xdr:row>65</xdr:row>
      <xdr:rowOff>57150</xdr:rowOff>
    </xdr:from>
    <xdr:to>
      <xdr:col>1</xdr:col>
      <xdr:colOff>470100</xdr:colOff>
      <xdr:row>66</xdr:row>
      <xdr:rowOff>298650</xdr:rowOff>
    </xdr:to>
    <xdr:pic>
      <xdr:nvPicPr>
        <xdr:cNvPr id="19" name="Picture 1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8625" y="14068425"/>
          <a:ext cx="432000" cy="432000"/>
        </a:xfrm>
        <a:prstGeom prst="rect">
          <a:avLst/>
        </a:prstGeom>
      </xdr:spPr>
    </xdr:pic>
    <xdr:clientData/>
  </xdr:twoCellAnchor>
  <xdr:oneCellAnchor>
    <xdr:from>
      <xdr:col>1</xdr:col>
      <xdr:colOff>38100</xdr:colOff>
      <xdr:row>43</xdr:row>
      <xdr:rowOff>19050</xdr:rowOff>
    </xdr:from>
    <xdr:ext cx="360000" cy="360000"/>
    <xdr:pic>
      <xdr:nvPicPr>
        <xdr:cNvPr id="20" name="Picture 1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28625" y="9220200"/>
          <a:ext cx="360000" cy="360000"/>
        </a:xfrm>
        <a:prstGeom prst="rect">
          <a:avLst/>
        </a:prstGeom>
      </xdr:spPr>
    </xdr:pic>
    <xdr:clientData/>
  </xdr:oneCellAnchor>
  <xdr:oneCellAnchor>
    <xdr:from>
      <xdr:col>1</xdr:col>
      <xdr:colOff>47625</xdr:colOff>
      <xdr:row>63</xdr:row>
      <xdr:rowOff>95250</xdr:rowOff>
    </xdr:from>
    <xdr:ext cx="360000" cy="360000"/>
    <xdr:pic>
      <xdr:nvPicPr>
        <xdr:cNvPr id="21" name="Picture 2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38150" y="13582650"/>
          <a:ext cx="360000" cy="360000"/>
        </a:xfrm>
        <a:prstGeom prst="rect">
          <a:avLst/>
        </a:prstGeom>
      </xdr:spPr>
    </xdr:pic>
    <xdr:clientData/>
  </xdr:oneCellAnchor>
</xdr:wsDr>
</file>

<file path=xl/drawings/drawing36.xml><?xml version="1.0" encoding="utf-8"?>
<xdr:wsDr xmlns:xdr="http://schemas.openxmlformats.org/drawingml/2006/spreadsheetDrawing" xmlns:a="http://schemas.openxmlformats.org/drawingml/2006/main">
  <xdr:twoCellAnchor>
    <xdr:from>
      <xdr:col>0</xdr:col>
      <xdr:colOff>371475</xdr:colOff>
      <xdr:row>1</xdr:row>
      <xdr:rowOff>123826</xdr:rowOff>
    </xdr:from>
    <xdr:to>
      <xdr:col>2</xdr:col>
      <xdr:colOff>902700</xdr:colOff>
      <xdr:row>3</xdr:row>
      <xdr:rowOff>66826</xdr:rowOff>
    </xdr:to>
    <xdr:sp macro="" textlink="">
      <xdr:nvSpPr>
        <xdr:cNvPr id="2" name="Rectangle à coins arrondis 2">
          <a:hlinkClick xmlns:r="http://schemas.openxmlformats.org/officeDocument/2006/relationships" r:id="rId1" tooltip="Back to H&amp;C"/>
        </xdr:cNvPr>
        <xdr:cNvSpPr>
          <a:spLocks noChangeArrowheads="1"/>
        </xdr:cNvSpPr>
      </xdr:nvSpPr>
      <xdr:spPr bwMode="auto">
        <a:xfrm>
          <a:off x="371475" y="419101"/>
          <a:ext cx="216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438150</xdr:colOff>
      <xdr:row>1</xdr:row>
      <xdr:rowOff>114300</xdr:rowOff>
    </xdr:from>
    <xdr:to>
      <xdr:col>5</xdr:col>
      <xdr:colOff>140700</xdr:colOff>
      <xdr:row>3</xdr:row>
      <xdr:rowOff>57300</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200400" y="4095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57150</xdr:colOff>
      <xdr:row>22</xdr:row>
      <xdr:rowOff>695325</xdr:rowOff>
    </xdr:from>
    <xdr:to>
      <xdr:col>1</xdr:col>
      <xdr:colOff>597150</xdr:colOff>
      <xdr:row>24</xdr:row>
      <xdr:rowOff>301875</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150" y="5257800"/>
          <a:ext cx="540000" cy="540000"/>
        </a:xfrm>
        <a:prstGeom prst="rect">
          <a:avLst/>
        </a:prstGeom>
      </xdr:spPr>
    </xdr:pic>
    <xdr:clientData/>
  </xdr:twoCellAnchor>
  <xdr:twoCellAnchor editAs="oneCell">
    <xdr:from>
      <xdr:col>1</xdr:col>
      <xdr:colOff>38100</xdr:colOff>
      <xdr:row>31</xdr:row>
      <xdr:rowOff>0</xdr:rowOff>
    </xdr:from>
    <xdr:to>
      <xdr:col>1</xdr:col>
      <xdr:colOff>434100</xdr:colOff>
      <xdr:row>33</xdr:row>
      <xdr:rowOff>15000</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7477125"/>
          <a:ext cx="396000" cy="396000"/>
        </a:xfrm>
        <a:prstGeom prst="rect">
          <a:avLst/>
        </a:prstGeom>
      </xdr:spPr>
    </xdr:pic>
    <xdr:clientData/>
  </xdr:twoCellAnchor>
  <xdr:twoCellAnchor editAs="oneCell">
    <xdr:from>
      <xdr:col>1</xdr:col>
      <xdr:colOff>19050</xdr:colOff>
      <xdr:row>15</xdr:row>
      <xdr:rowOff>152400</xdr:rowOff>
    </xdr:from>
    <xdr:to>
      <xdr:col>1</xdr:col>
      <xdr:colOff>487050</xdr:colOff>
      <xdr:row>18</xdr:row>
      <xdr:rowOff>48900</xdr:rowOff>
    </xdr:to>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0050" y="3457575"/>
          <a:ext cx="468000" cy="468000"/>
        </a:xfrm>
        <a:prstGeom prst="rect">
          <a:avLst/>
        </a:prstGeom>
      </xdr:spPr>
    </xdr:pic>
    <xdr:clientData/>
  </xdr:twoCellAnchor>
  <xdr:twoCellAnchor>
    <xdr:from>
      <xdr:col>8</xdr:col>
      <xdr:colOff>504825</xdr:colOff>
      <xdr:row>1</xdr:row>
      <xdr:rowOff>104775</xdr:rowOff>
    </xdr:from>
    <xdr:to>
      <xdr:col>8</xdr:col>
      <xdr:colOff>952500</xdr:colOff>
      <xdr:row>3</xdr:row>
      <xdr:rowOff>76200</xdr:rowOff>
    </xdr:to>
    <xdr:sp macro="" textlink="">
      <xdr:nvSpPr>
        <xdr:cNvPr id="7" name="Up Arrow 6">
          <a:hlinkClick xmlns:r="http://schemas.openxmlformats.org/officeDocument/2006/relationships" r:id="rId6" tooltip="Back to top"/>
        </xdr:cNvPr>
        <xdr:cNvSpPr/>
      </xdr:nvSpPr>
      <xdr:spPr>
        <a:xfrm>
          <a:off x="9572625"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57150</xdr:colOff>
      <xdr:row>1</xdr:row>
      <xdr:rowOff>114301</xdr:rowOff>
    </xdr:from>
    <xdr:to>
      <xdr:col>2</xdr:col>
      <xdr:colOff>431625</xdr:colOff>
      <xdr:row>3</xdr:row>
      <xdr:rowOff>57301</xdr:rowOff>
    </xdr:to>
    <xdr:sp macro="" textlink="">
      <xdr:nvSpPr>
        <xdr:cNvPr id="2" name="Rectangle à coins arrondis 2">
          <a:hlinkClick xmlns:r="http://schemas.openxmlformats.org/officeDocument/2006/relationships" r:id="rId1" tooltip="Back to H&amp;C"/>
        </xdr:cNvPr>
        <xdr:cNvSpPr>
          <a:spLocks noChangeArrowheads="1"/>
        </xdr:cNvSpPr>
      </xdr:nvSpPr>
      <xdr:spPr bwMode="auto">
        <a:xfrm>
          <a:off x="57150" y="409576"/>
          <a:ext cx="188895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523875</xdr:colOff>
      <xdr:row>1</xdr:row>
      <xdr:rowOff>114300</xdr:rowOff>
    </xdr:from>
    <xdr:to>
      <xdr:col>3</xdr:col>
      <xdr:colOff>780675</xdr:colOff>
      <xdr:row>3</xdr:row>
      <xdr:rowOff>57300</xdr:rowOff>
    </xdr:to>
    <xdr:sp macro="" textlink="">
      <xdr:nvSpPr>
        <xdr:cNvPr id="3" name="Rectangle à coins arrondis 4">
          <a:hlinkClick xmlns:r="http://schemas.openxmlformats.org/officeDocument/2006/relationships" r:id="rId2" tooltip="Scorecard"/>
        </xdr:cNvPr>
        <xdr:cNvSpPr>
          <a:spLocks noChangeArrowheads="1"/>
        </xdr:cNvSpPr>
      </xdr:nvSpPr>
      <xdr:spPr bwMode="auto">
        <a:xfrm>
          <a:off x="2038350" y="409575"/>
          <a:ext cx="1476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600075</xdr:colOff>
      <xdr:row>1</xdr:row>
      <xdr:rowOff>142875</xdr:rowOff>
    </xdr:from>
    <xdr:to>
      <xdr:col>5</xdr:col>
      <xdr:colOff>235350</xdr:colOff>
      <xdr:row>3</xdr:row>
      <xdr:rowOff>49875</xdr:rowOff>
    </xdr:to>
    <xdr:sp macro="" textlink="">
      <xdr:nvSpPr>
        <xdr:cNvPr id="4" name="Rectangle à coins arrondis 2">
          <a:hlinkClick xmlns:r="http://schemas.openxmlformats.org/officeDocument/2006/relationships" r:id="rId3" tooltip="Strategy A"/>
        </xdr:cNvPr>
        <xdr:cNvSpPr>
          <a:spLocks noChangeArrowheads="1"/>
        </xdr:cNvSpPr>
      </xdr:nvSpPr>
      <xdr:spPr bwMode="auto">
        <a:xfrm>
          <a:off x="4562475"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266700</xdr:colOff>
      <xdr:row>1</xdr:row>
      <xdr:rowOff>142875</xdr:rowOff>
    </xdr:from>
    <xdr:to>
      <xdr:col>5</xdr:col>
      <xdr:colOff>1130700</xdr:colOff>
      <xdr:row>3</xdr:row>
      <xdr:rowOff>49875</xdr:rowOff>
    </xdr:to>
    <xdr:sp macro="" textlink="">
      <xdr:nvSpPr>
        <xdr:cNvPr id="5" name="Rectangle à coins arrondis 2">
          <a:hlinkClick xmlns:r="http://schemas.openxmlformats.org/officeDocument/2006/relationships" r:id="rId4" tooltip="Strategy B"/>
        </xdr:cNvPr>
        <xdr:cNvSpPr>
          <a:spLocks noChangeArrowheads="1"/>
        </xdr:cNvSpPr>
      </xdr:nvSpPr>
      <xdr:spPr bwMode="auto">
        <a:xfrm>
          <a:off x="5457825"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5</xdr:col>
      <xdr:colOff>1162049</xdr:colOff>
      <xdr:row>1</xdr:row>
      <xdr:rowOff>142875</xdr:rowOff>
    </xdr:from>
    <xdr:to>
      <xdr:col>6</xdr:col>
      <xdr:colOff>797324</xdr:colOff>
      <xdr:row>3</xdr:row>
      <xdr:rowOff>49875</xdr:rowOff>
    </xdr:to>
    <xdr:sp macro="" textlink="">
      <xdr:nvSpPr>
        <xdr:cNvPr id="6" name="Rectangle à coins arrondis 2">
          <a:hlinkClick xmlns:r="http://schemas.openxmlformats.org/officeDocument/2006/relationships" r:id="rId5" tooltip="Strategy C"/>
        </xdr:cNvPr>
        <xdr:cNvSpPr>
          <a:spLocks noChangeArrowheads="1"/>
        </xdr:cNvSpPr>
      </xdr:nvSpPr>
      <xdr:spPr bwMode="auto">
        <a:xfrm>
          <a:off x="6353174"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6</xdr:col>
      <xdr:colOff>828674</xdr:colOff>
      <xdr:row>1</xdr:row>
      <xdr:rowOff>142875</xdr:rowOff>
    </xdr:from>
    <xdr:to>
      <xdr:col>7</xdr:col>
      <xdr:colOff>397274</xdr:colOff>
      <xdr:row>3</xdr:row>
      <xdr:rowOff>49875</xdr:rowOff>
    </xdr:to>
    <xdr:sp macro="" textlink="">
      <xdr:nvSpPr>
        <xdr:cNvPr id="7" name="Rectangle à coins arrondis 2">
          <a:hlinkClick xmlns:r="http://schemas.openxmlformats.org/officeDocument/2006/relationships" r:id="rId6" tooltip="Strategy D"/>
        </xdr:cNvPr>
        <xdr:cNvSpPr>
          <a:spLocks noChangeArrowheads="1"/>
        </xdr:cNvSpPr>
      </xdr:nvSpPr>
      <xdr:spPr bwMode="auto">
        <a:xfrm>
          <a:off x="7248524"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editAs="oneCell">
    <xdr:from>
      <xdr:col>1</xdr:col>
      <xdr:colOff>9525</xdr:colOff>
      <xdr:row>28</xdr:row>
      <xdr:rowOff>66675</xdr:rowOff>
    </xdr:from>
    <xdr:to>
      <xdr:col>1</xdr:col>
      <xdr:colOff>405525</xdr:colOff>
      <xdr:row>30</xdr:row>
      <xdr:rowOff>110250</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4800" y="8086725"/>
          <a:ext cx="396000" cy="396000"/>
        </a:xfrm>
        <a:prstGeom prst="rect">
          <a:avLst/>
        </a:prstGeom>
      </xdr:spPr>
    </xdr:pic>
    <xdr:clientData/>
  </xdr:twoCellAnchor>
  <xdr:twoCellAnchor editAs="oneCell">
    <xdr:from>
      <xdr:col>1</xdr:col>
      <xdr:colOff>28575</xdr:colOff>
      <xdr:row>30</xdr:row>
      <xdr:rowOff>161925</xdr:rowOff>
    </xdr:from>
    <xdr:to>
      <xdr:col>1</xdr:col>
      <xdr:colOff>388575</xdr:colOff>
      <xdr:row>32</xdr:row>
      <xdr:rowOff>102825</xdr:rowOff>
    </xdr:to>
    <xdr:pic>
      <xdr:nvPicPr>
        <xdr:cNvPr id="9" name="Picture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850" y="8534400"/>
          <a:ext cx="360000" cy="360000"/>
        </a:xfrm>
        <a:prstGeom prst="rect">
          <a:avLst/>
        </a:prstGeom>
      </xdr:spPr>
    </xdr:pic>
    <xdr:clientData/>
  </xdr:twoCellAnchor>
  <xdr:oneCellAnchor>
    <xdr:from>
      <xdr:col>1</xdr:col>
      <xdr:colOff>38100</xdr:colOff>
      <xdr:row>32</xdr:row>
      <xdr:rowOff>152400</xdr:rowOff>
    </xdr:from>
    <xdr:ext cx="360000" cy="360000"/>
    <xdr:pic>
      <xdr:nvPicPr>
        <xdr:cNvPr id="10" name="Picture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8943975"/>
          <a:ext cx="360000" cy="360000"/>
        </a:xfrm>
        <a:prstGeom prst="rect">
          <a:avLst/>
        </a:prstGeom>
      </xdr:spPr>
    </xdr:pic>
    <xdr:clientData/>
  </xdr:oneCellAnchor>
  <xdr:oneCellAnchor>
    <xdr:from>
      <xdr:col>1</xdr:col>
      <xdr:colOff>0</xdr:colOff>
      <xdr:row>63</xdr:row>
      <xdr:rowOff>47625</xdr:rowOff>
    </xdr:from>
    <xdr:ext cx="396000" cy="396000"/>
    <xdr:pic>
      <xdr:nvPicPr>
        <xdr:cNvPr id="15" name="Picture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95275" y="15954375"/>
          <a:ext cx="396000" cy="396000"/>
        </a:xfrm>
        <a:prstGeom prst="rect">
          <a:avLst/>
        </a:prstGeom>
      </xdr:spPr>
    </xdr:pic>
    <xdr:clientData/>
  </xdr:oneCellAnchor>
  <xdr:oneCellAnchor>
    <xdr:from>
      <xdr:col>1</xdr:col>
      <xdr:colOff>28575</xdr:colOff>
      <xdr:row>65</xdr:row>
      <xdr:rowOff>161925</xdr:rowOff>
    </xdr:from>
    <xdr:ext cx="360000" cy="360000"/>
    <xdr:pic>
      <xdr:nvPicPr>
        <xdr:cNvPr id="16" name="Picture 1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850" y="16430625"/>
          <a:ext cx="360000" cy="360000"/>
        </a:xfrm>
        <a:prstGeom prst="rect">
          <a:avLst/>
        </a:prstGeom>
      </xdr:spPr>
    </xdr:pic>
    <xdr:clientData/>
  </xdr:oneCellAnchor>
  <xdr:oneCellAnchor>
    <xdr:from>
      <xdr:col>1</xdr:col>
      <xdr:colOff>38100</xdr:colOff>
      <xdr:row>67</xdr:row>
      <xdr:rowOff>152400</xdr:rowOff>
    </xdr:from>
    <xdr:ext cx="360000" cy="360000"/>
    <xdr:pic>
      <xdr:nvPicPr>
        <xdr:cNvPr id="17"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16840200"/>
          <a:ext cx="360000" cy="360000"/>
        </a:xfrm>
        <a:prstGeom prst="rect">
          <a:avLst/>
        </a:prstGeom>
      </xdr:spPr>
    </xdr:pic>
    <xdr:clientData/>
  </xdr:oneCellAnchor>
  <xdr:oneCellAnchor>
    <xdr:from>
      <xdr:col>1</xdr:col>
      <xdr:colOff>9525</xdr:colOff>
      <xdr:row>98</xdr:row>
      <xdr:rowOff>57150</xdr:rowOff>
    </xdr:from>
    <xdr:ext cx="396000" cy="396000"/>
    <xdr:pic>
      <xdr:nvPicPr>
        <xdr:cNvPr id="18" name="Picture 1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4800" y="23926800"/>
          <a:ext cx="396000" cy="396000"/>
        </a:xfrm>
        <a:prstGeom prst="rect">
          <a:avLst/>
        </a:prstGeom>
      </xdr:spPr>
    </xdr:pic>
    <xdr:clientData/>
  </xdr:oneCellAnchor>
  <xdr:oneCellAnchor>
    <xdr:from>
      <xdr:col>1</xdr:col>
      <xdr:colOff>28575</xdr:colOff>
      <xdr:row>101</xdr:row>
      <xdr:rowOff>19050</xdr:rowOff>
    </xdr:from>
    <xdr:ext cx="360000" cy="360000"/>
    <xdr:pic>
      <xdr:nvPicPr>
        <xdr:cNvPr id="19" name="Picture 1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3850" y="24488775"/>
          <a:ext cx="360000" cy="360000"/>
        </a:xfrm>
        <a:prstGeom prst="rect">
          <a:avLst/>
        </a:prstGeom>
      </xdr:spPr>
    </xdr:pic>
    <xdr:clientData/>
  </xdr:oneCellAnchor>
  <xdr:oneCellAnchor>
    <xdr:from>
      <xdr:col>1</xdr:col>
      <xdr:colOff>38100</xdr:colOff>
      <xdr:row>103</xdr:row>
      <xdr:rowOff>152400</xdr:rowOff>
    </xdr:from>
    <xdr:ext cx="360000" cy="360000"/>
    <xdr:pic>
      <xdr:nvPicPr>
        <xdr:cNvPr id="20" name="Picture 1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25003125"/>
          <a:ext cx="360000" cy="360000"/>
        </a:xfrm>
        <a:prstGeom prst="rect">
          <a:avLst/>
        </a:prstGeom>
      </xdr:spPr>
    </xdr:pic>
    <xdr:clientData/>
  </xdr:oneCellAnchor>
  <xdr:twoCellAnchor>
    <xdr:from>
      <xdr:col>7</xdr:col>
      <xdr:colOff>1343025</xdr:colOff>
      <xdr:row>1</xdr:row>
      <xdr:rowOff>104775</xdr:rowOff>
    </xdr:from>
    <xdr:to>
      <xdr:col>8</xdr:col>
      <xdr:colOff>314325</xdr:colOff>
      <xdr:row>3</xdr:row>
      <xdr:rowOff>76200</xdr:rowOff>
    </xdr:to>
    <xdr:sp macro="" textlink="">
      <xdr:nvSpPr>
        <xdr:cNvPr id="21" name="Up Arrow 20">
          <a:hlinkClick xmlns:r="http://schemas.openxmlformats.org/officeDocument/2006/relationships" r:id="rId10" tooltip="Back to top"/>
        </xdr:cNvPr>
        <xdr:cNvSpPr/>
      </xdr:nvSpPr>
      <xdr:spPr>
        <a:xfrm>
          <a:off x="9058275"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923925</xdr:colOff>
      <xdr:row>1</xdr:row>
      <xdr:rowOff>142875</xdr:rowOff>
    </xdr:from>
    <xdr:to>
      <xdr:col>4</xdr:col>
      <xdr:colOff>559200</xdr:colOff>
      <xdr:row>3</xdr:row>
      <xdr:rowOff>49875</xdr:rowOff>
    </xdr:to>
    <xdr:sp macro="" textlink="">
      <xdr:nvSpPr>
        <xdr:cNvPr id="22" name="Rectangle à coins arrondis 2">
          <a:hlinkClick xmlns:r="http://schemas.openxmlformats.org/officeDocument/2006/relationships" r:id="rId11" tooltip="Glossary of the credit"/>
        </xdr:cNvPr>
        <xdr:cNvSpPr>
          <a:spLocks noChangeArrowheads="1"/>
        </xdr:cNvSpPr>
      </xdr:nvSpPr>
      <xdr:spPr bwMode="auto">
        <a:xfrm>
          <a:off x="3657600"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Glossary</a:t>
          </a:r>
        </a:p>
      </xdr:txBody>
    </xdr:sp>
    <xdr:clientData/>
  </xdr:twoCellAnchor>
  <xdr:twoCellAnchor>
    <xdr:from>
      <xdr:col>7</xdr:col>
      <xdr:colOff>428624</xdr:colOff>
      <xdr:row>1</xdr:row>
      <xdr:rowOff>142875</xdr:rowOff>
    </xdr:from>
    <xdr:to>
      <xdr:col>7</xdr:col>
      <xdr:colOff>1292624</xdr:colOff>
      <xdr:row>3</xdr:row>
      <xdr:rowOff>49875</xdr:rowOff>
    </xdr:to>
    <xdr:sp macro="" textlink="">
      <xdr:nvSpPr>
        <xdr:cNvPr id="23" name="Rectangle à coins arrondis 2">
          <a:hlinkClick xmlns:r="http://schemas.openxmlformats.org/officeDocument/2006/relationships" r:id="rId12" tooltip="Strategy E"/>
        </xdr:cNvPr>
        <xdr:cNvSpPr>
          <a:spLocks noChangeArrowheads="1"/>
        </xdr:cNvSpPr>
      </xdr:nvSpPr>
      <xdr:spPr bwMode="auto">
        <a:xfrm>
          <a:off x="8143874" y="438150"/>
          <a:ext cx="864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E</a:t>
          </a:r>
        </a:p>
      </xdr:txBody>
    </xdr:sp>
    <xdr:clientData/>
  </xdr:twoCellAnchor>
  <xdr:twoCellAnchor editAs="oneCell">
    <xdr:from>
      <xdr:col>1</xdr:col>
      <xdr:colOff>28575</xdr:colOff>
      <xdr:row>20</xdr:row>
      <xdr:rowOff>180975</xdr:rowOff>
    </xdr:from>
    <xdr:to>
      <xdr:col>1</xdr:col>
      <xdr:colOff>530621</xdr:colOff>
      <xdr:row>22</xdr:row>
      <xdr:rowOff>303975</xdr:rowOff>
    </xdr:to>
    <xdr:pic>
      <xdr:nvPicPr>
        <xdr:cNvPr id="24" name="Picture 2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23850" y="5229225"/>
          <a:ext cx="502046" cy="504000"/>
        </a:xfrm>
        <a:prstGeom prst="rect">
          <a:avLst/>
        </a:prstGeom>
      </xdr:spPr>
    </xdr:pic>
    <xdr:clientData/>
  </xdr:twoCellAnchor>
  <xdr:oneCellAnchor>
    <xdr:from>
      <xdr:col>1</xdr:col>
      <xdr:colOff>9525</xdr:colOff>
      <xdr:row>176</xdr:row>
      <xdr:rowOff>57150</xdr:rowOff>
    </xdr:from>
    <xdr:ext cx="396000" cy="396000"/>
    <xdr:pic>
      <xdr:nvPicPr>
        <xdr:cNvPr id="25" name="Picture 2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04800" y="40224075"/>
          <a:ext cx="396000" cy="396000"/>
        </a:xfrm>
        <a:prstGeom prst="rect">
          <a:avLst/>
        </a:prstGeom>
      </xdr:spPr>
    </xdr:pic>
    <xdr:clientData/>
  </xdr:oneCellAnchor>
  <xdr:oneCellAnchor>
    <xdr:from>
      <xdr:col>1</xdr:col>
      <xdr:colOff>47625</xdr:colOff>
      <xdr:row>178</xdr:row>
      <xdr:rowOff>200025</xdr:rowOff>
    </xdr:from>
    <xdr:ext cx="360000" cy="360000"/>
    <xdr:pic>
      <xdr:nvPicPr>
        <xdr:cNvPr id="26" name="Picture 2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40738425"/>
          <a:ext cx="360000" cy="360000"/>
        </a:xfrm>
        <a:prstGeom prst="rect">
          <a:avLst/>
        </a:prstGeom>
      </xdr:spPr>
    </xdr:pic>
    <xdr:clientData/>
  </xdr:oneCellAnchor>
  <xdr:oneCellAnchor>
    <xdr:from>
      <xdr:col>1</xdr:col>
      <xdr:colOff>38100</xdr:colOff>
      <xdr:row>181</xdr:row>
      <xdr:rowOff>47625</xdr:rowOff>
    </xdr:from>
    <xdr:ext cx="360000" cy="360000"/>
    <xdr:pic>
      <xdr:nvPicPr>
        <xdr:cNvPr id="27" name="Picture 2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3375" y="41205150"/>
          <a:ext cx="360000" cy="360000"/>
        </a:xfrm>
        <a:prstGeom prst="rect">
          <a:avLst/>
        </a:prstGeom>
      </xdr:spPr>
    </xdr:pic>
    <xdr:clientData/>
  </xdr:oneCellAnchor>
  <xdr:oneCellAnchor>
    <xdr:from>
      <xdr:col>1</xdr:col>
      <xdr:colOff>76200</xdr:colOff>
      <xdr:row>137</xdr:row>
      <xdr:rowOff>9525</xdr:rowOff>
    </xdr:from>
    <xdr:ext cx="468000" cy="468000"/>
    <xdr:pic>
      <xdr:nvPicPr>
        <xdr:cNvPr id="28" name="Picture 2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1475" y="31356300"/>
          <a:ext cx="468000" cy="468000"/>
        </a:xfrm>
        <a:prstGeom prst="rect">
          <a:avLst/>
        </a:prstGeom>
      </xdr:spPr>
    </xdr:pic>
    <xdr:clientData/>
  </xdr:oneCellAnchor>
  <xdr:oneCellAnchor>
    <xdr:from>
      <xdr:col>1</xdr:col>
      <xdr:colOff>38100</xdr:colOff>
      <xdr:row>145</xdr:row>
      <xdr:rowOff>152400</xdr:rowOff>
    </xdr:from>
    <xdr:ext cx="360000" cy="360000"/>
    <xdr:pic>
      <xdr:nvPicPr>
        <xdr:cNvPr id="29" name="Picture 2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2425" y="32699325"/>
          <a:ext cx="360000" cy="360000"/>
        </a:xfrm>
        <a:prstGeom prst="rect">
          <a:avLst/>
        </a:prstGeom>
      </xdr:spPr>
    </xdr:pic>
    <xdr:clientData/>
  </xdr:oneCellAnchor>
  <xdr:oneCellAnchor>
    <xdr:from>
      <xdr:col>1</xdr:col>
      <xdr:colOff>38100</xdr:colOff>
      <xdr:row>143</xdr:row>
      <xdr:rowOff>38100</xdr:rowOff>
    </xdr:from>
    <xdr:ext cx="360000" cy="360000"/>
    <xdr:pic>
      <xdr:nvPicPr>
        <xdr:cNvPr id="30" name="Picture 2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2425" y="32165925"/>
          <a:ext cx="360000" cy="360000"/>
        </a:xfrm>
        <a:prstGeom prst="rect">
          <a:avLst/>
        </a:prstGeom>
      </xdr:spPr>
    </xdr:pic>
    <xdr:clientData/>
  </xdr:oneCellAnchor>
</xdr:wsDr>
</file>

<file path=xl/drawings/drawing38.xml><?xml version="1.0" encoding="utf-8"?>
<xdr:wsDr xmlns:xdr="http://schemas.openxmlformats.org/drawingml/2006/spreadsheetDrawing" xmlns:a="http://schemas.openxmlformats.org/drawingml/2006/main">
  <xdr:twoCellAnchor>
    <xdr:from>
      <xdr:col>1</xdr:col>
      <xdr:colOff>95250</xdr:colOff>
      <xdr:row>1</xdr:row>
      <xdr:rowOff>104776</xdr:rowOff>
    </xdr:from>
    <xdr:to>
      <xdr:col>2</xdr:col>
      <xdr:colOff>827475</xdr:colOff>
      <xdr:row>3</xdr:row>
      <xdr:rowOff>47776</xdr:rowOff>
    </xdr:to>
    <xdr:sp macro="" textlink="">
      <xdr:nvSpPr>
        <xdr:cNvPr id="4" name="Rectangle à coins arrondis 2">
          <a:hlinkClick xmlns:r="http://schemas.openxmlformats.org/officeDocument/2006/relationships" r:id="rId1" tooltip="Back to H&amp;C"/>
        </xdr:cNvPr>
        <xdr:cNvSpPr>
          <a:spLocks noChangeArrowheads="1"/>
        </xdr:cNvSpPr>
      </xdr:nvSpPr>
      <xdr:spPr bwMode="auto">
        <a:xfrm>
          <a:off x="342900" y="400051"/>
          <a:ext cx="198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638175</xdr:colOff>
      <xdr:row>1</xdr:row>
      <xdr:rowOff>95250</xdr:rowOff>
    </xdr:from>
    <xdr:to>
      <xdr:col>6</xdr:col>
      <xdr:colOff>151200</xdr:colOff>
      <xdr:row>3</xdr:row>
      <xdr:rowOff>38250</xdr:rowOff>
    </xdr:to>
    <xdr:sp macro="" textlink="">
      <xdr:nvSpPr>
        <xdr:cNvPr id="5" name="Rectangle à coins arrondis 4">
          <a:hlinkClick xmlns:r="http://schemas.openxmlformats.org/officeDocument/2006/relationships" r:id="rId2" tooltip="Scorecard"/>
        </xdr:cNvPr>
        <xdr:cNvSpPr>
          <a:spLocks noChangeArrowheads="1"/>
        </xdr:cNvSpPr>
      </xdr:nvSpPr>
      <xdr:spPr bwMode="auto">
        <a:xfrm>
          <a:off x="2981325" y="390525"/>
          <a:ext cx="198952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8</xdr:col>
      <xdr:colOff>600074</xdr:colOff>
      <xdr:row>5</xdr:row>
      <xdr:rowOff>57150</xdr:rowOff>
    </xdr:from>
    <xdr:to>
      <xdr:col>10</xdr:col>
      <xdr:colOff>535124</xdr:colOff>
      <xdr:row>6</xdr:row>
      <xdr:rowOff>90075</xdr:rowOff>
    </xdr:to>
    <xdr:sp macro="" textlink="">
      <xdr:nvSpPr>
        <xdr:cNvPr id="6" name="Rectangle à coins arrondis 2">
          <a:hlinkClick xmlns:r="http://schemas.openxmlformats.org/officeDocument/2006/relationships" r:id="rId3" tooltip="Prescriptive Path"/>
        </xdr:cNvPr>
        <xdr:cNvSpPr>
          <a:spLocks noChangeArrowheads="1"/>
        </xdr:cNvSpPr>
      </xdr:nvSpPr>
      <xdr:spPr bwMode="auto">
        <a:xfrm>
          <a:off x="6515099" y="1190625"/>
          <a:ext cx="1440000" cy="299625"/>
        </a:xfrm>
        <a:prstGeom prst="roundRect">
          <a:avLst>
            <a:gd name="adj" fmla="val 16667"/>
          </a:avLst>
        </a:prstGeom>
        <a:solidFill>
          <a:schemeClr val="accent4">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Prescriptive Path</a:t>
          </a:r>
        </a:p>
      </xdr:txBody>
    </xdr:sp>
    <xdr:clientData/>
  </xdr:twoCellAnchor>
  <xdr:twoCellAnchor>
    <xdr:from>
      <xdr:col>11</xdr:col>
      <xdr:colOff>219075</xdr:colOff>
      <xdr:row>5</xdr:row>
      <xdr:rowOff>57150</xdr:rowOff>
    </xdr:from>
    <xdr:to>
      <xdr:col>13</xdr:col>
      <xdr:colOff>497025</xdr:colOff>
      <xdr:row>6</xdr:row>
      <xdr:rowOff>90075</xdr:rowOff>
    </xdr:to>
    <xdr:sp macro="" textlink="">
      <xdr:nvSpPr>
        <xdr:cNvPr id="7" name="Rectangle à coins arrondis 2">
          <a:hlinkClick xmlns:r="http://schemas.openxmlformats.org/officeDocument/2006/relationships" r:id="rId4" tooltip="Performance Path"/>
        </xdr:cNvPr>
        <xdr:cNvSpPr>
          <a:spLocks noChangeArrowheads="1"/>
        </xdr:cNvSpPr>
      </xdr:nvSpPr>
      <xdr:spPr bwMode="auto">
        <a:xfrm>
          <a:off x="8286750" y="1190625"/>
          <a:ext cx="1440000" cy="299625"/>
        </a:xfrm>
        <a:prstGeom prst="roundRect">
          <a:avLst>
            <a:gd name="adj" fmla="val 16667"/>
          </a:avLst>
        </a:prstGeom>
        <a:solidFill>
          <a:schemeClr val="accent6">
            <a:lumMod val="20000"/>
            <a:lumOff val="80000"/>
          </a:schemeClr>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ysClr val="windowText" lastClr="000000"/>
              </a:solidFill>
              <a:latin typeface="Arial" panose="020B0604020202020204" pitchFamily="34" charset="0"/>
              <a:cs typeface="Arial" panose="020B0604020202020204" pitchFamily="34" charset="0"/>
            </a:rPr>
            <a:t>Performance</a:t>
          </a:r>
          <a:r>
            <a:rPr lang="fr-FR" sz="1100" b="0" i="0" u="none" strike="noStrike" baseline="0">
              <a:solidFill>
                <a:schemeClr val="bg1"/>
              </a:solidFill>
              <a:latin typeface="Arial" panose="020B0604020202020204" pitchFamily="34" charset="0"/>
              <a:cs typeface="Arial" panose="020B0604020202020204" pitchFamily="34" charset="0"/>
            </a:rPr>
            <a:t> </a:t>
          </a:r>
          <a:r>
            <a:rPr lang="fr-FR" sz="1100" b="0" i="0" u="none" strike="noStrike" baseline="0">
              <a:solidFill>
                <a:sysClr val="windowText" lastClr="000000"/>
              </a:solidFill>
              <a:latin typeface="Arial" panose="020B0604020202020204" pitchFamily="34" charset="0"/>
              <a:cs typeface="Arial" panose="020B0604020202020204" pitchFamily="34" charset="0"/>
            </a:rPr>
            <a:t>Path</a:t>
          </a:r>
        </a:p>
      </xdr:txBody>
    </xdr:sp>
    <xdr:clientData/>
  </xdr:twoCellAnchor>
  <xdr:twoCellAnchor>
    <xdr:from>
      <xdr:col>8</xdr:col>
      <xdr:colOff>95250</xdr:colOff>
      <xdr:row>5</xdr:row>
      <xdr:rowOff>66675</xdr:rowOff>
    </xdr:from>
    <xdr:to>
      <xdr:col>8</xdr:col>
      <xdr:colOff>419250</xdr:colOff>
      <xdr:row>6</xdr:row>
      <xdr:rowOff>99600</xdr:rowOff>
    </xdr:to>
    <xdr:sp macro="" textlink="">
      <xdr:nvSpPr>
        <xdr:cNvPr id="8" name="Flèche droite 7"/>
        <xdr:cNvSpPr/>
      </xdr:nvSpPr>
      <xdr:spPr>
        <a:xfrm>
          <a:off x="6010275" y="1200150"/>
          <a:ext cx="324000" cy="299625"/>
        </a:xfrm>
        <a:prstGeom prst="rightArrow">
          <a:avLst/>
        </a:prstGeom>
        <a:solidFill>
          <a:srgbClr val="943634"/>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fr-FR" sz="1100"/>
        </a:p>
      </xdr:txBody>
    </xdr:sp>
    <xdr:clientData/>
  </xdr:twoCellAnchor>
  <xdr:twoCellAnchor editAs="oneCell">
    <xdr:from>
      <xdr:col>1</xdr:col>
      <xdr:colOff>133355</xdr:colOff>
      <xdr:row>39</xdr:row>
      <xdr:rowOff>57161</xdr:rowOff>
    </xdr:from>
    <xdr:to>
      <xdr:col>4</xdr:col>
      <xdr:colOff>643878</xdr:colOff>
      <xdr:row>52</xdr:row>
      <xdr:rowOff>110502</xdr:rowOff>
    </xdr:to>
    <xdr:pic>
      <xdr:nvPicPr>
        <xdr:cNvPr id="10" name="Picture 9" descr="\\VGBC_NAS\VGBC_Network\VGBC Shared\LOTUS\LOTUS Homes\3. Credits\sidelit daylit zone.png"/>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1705" r="3301" b="3965"/>
        <a:stretch/>
      </xdr:blipFill>
      <xdr:spPr bwMode="auto">
        <a:xfrm>
          <a:off x="381005" y="7515236"/>
          <a:ext cx="3558523" cy="2529841"/>
        </a:xfrm>
        <a:prstGeom prst="rect">
          <a:avLst/>
        </a:prstGeom>
        <a:noFill/>
        <a:ln>
          <a:noFill/>
        </a:ln>
      </xdr:spPr>
    </xdr:pic>
    <xdr:clientData/>
  </xdr:twoCellAnchor>
  <xdr:twoCellAnchor editAs="oneCell">
    <xdr:from>
      <xdr:col>5</xdr:col>
      <xdr:colOff>409575</xdr:colOff>
      <xdr:row>41</xdr:row>
      <xdr:rowOff>133350</xdr:rowOff>
    </xdr:from>
    <xdr:to>
      <xdr:col>11</xdr:col>
      <xdr:colOff>173114</xdr:colOff>
      <xdr:row>61</xdr:row>
      <xdr:rowOff>149772</xdr:rowOff>
    </xdr:to>
    <xdr:pic>
      <xdr:nvPicPr>
        <xdr:cNvPr id="13" name="Picture 12" descr="\\VGBC_NAS\VGBC_Network\VGBC Shared\LOTUS\LOTUS Homes\3. Credits\skylit daylit zone.png"/>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210" t="5252" r="49541" b="1655"/>
        <a:stretch/>
      </xdr:blipFill>
      <xdr:spPr bwMode="auto">
        <a:xfrm>
          <a:off x="4581525" y="7972425"/>
          <a:ext cx="3487814" cy="4264572"/>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12</xdr:col>
      <xdr:colOff>9525</xdr:colOff>
      <xdr:row>41</xdr:row>
      <xdr:rowOff>114300</xdr:rowOff>
    </xdr:from>
    <xdr:to>
      <xdr:col>17</xdr:col>
      <xdr:colOff>114300</xdr:colOff>
      <xdr:row>61</xdr:row>
      <xdr:rowOff>152318</xdr:rowOff>
    </xdr:to>
    <xdr:pic>
      <xdr:nvPicPr>
        <xdr:cNvPr id="16" name="Picture 15" descr="C:\Users\phong.vu\Desktop\skylit daylit zone.png"/>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54175" t="4535" r="-1" b="1900"/>
        <a:stretch/>
      </xdr:blipFill>
      <xdr:spPr bwMode="auto">
        <a:xfrm>
          <a:off x="8429625" y="9210675"/>
          <a:ext cx="3238500" cy="4286168"/>
        </a:xfrm>
        <a:prstGeom prst="rect">
          <a:avLst/>
        </a:prstGeom>
        <a:noFill/>
        <a:ln>
          <a:noFill/>
        </a:ln>
        <a:extLst>
          <a:ext uri="{53640926-AAD7-44D8-BBD7-CCE9431645EC}">
            <a14:shadowObscured xmlns:a14="http://schemas.microsoft.com/office/drawing/2010/main"/>
          </a:ext>
        </a:extLst>
      </xdr:spPr>
    </xdr:pic>
    <xdr:clientData/>
  </xdr:twoCellAnchor>
  <xdr:twoCellAnchor>
    <xdr:from>
      <xdr:col>10</xdr:col>
      <xdr:colOff>352425</xdr:colOff>
      <xdr:row>106</xdr:row>
      <xdr:rowOff>114300</xdr:rowOff>
    </xdr:from>
    <xdr:to>
      <xdr:col>16</xdr:col>
      <xdr:colOff>685800</xdr:colOff>
      <xdr:row>108</xdr:row>
      <xdr:rowOff>9675</xdr:rowOff>
    </xdr:to>
    <xdr:sp macro="" textlink="">
      <xdr:nvSpPr>
        <xdr:cNvPr id="17" name="Rectangle à coins arrondis 2">
          <a:hlinkClick xmlns:r="http://schemas.openxmlformats.org/officeDocument/2006/relationships" r:id="rId7" tooltip="Resources"/>
        </xdr:cNvPr>
        <xdr:cNvSpPr>
          <a:spLocks noChangeArrowheads="1"/>
        </xdr:cNvSpPr>
      </xdr:nvSpPr>
      <xdr:spPr bwMode="auto">
        <a:xfrm>
          <a:off x="7610475" y="22450425"/>
          <a:ext cx="3933825" cy="295425"/>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typical values of the different parameters</a:t>
          </a:r>
        </a:p>
      </xdr:txBody>
    </xdr:sp>
    <xdr:clientData/>
  </xdr:twoCellAnchor>
  <xdr:twoCellAnchor editAs="oneCell">
    <xdr:from>
      <xdr:col>1</xdr:col>
      <xdr:colOff>28575</xdr:colOff>
      <xdr:row>103</xdr:row>
      <xdr:rowOff>76200</xdr:rowOff>
    </xdr:from>
    <xdr:to>
      <xdr:col>1</xdr:col>
      <xdr:colOff>424575</xdr:colOff>
      <xdr:row>105</xdr:row>
      <xdr:rowOff>119775</xdr:rowOff>
    </xdr:to>
    <xdr:pic>
      <xdr:nvPicPr>
        <xdr:cNvPr id="11" name="Picture 1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225" y="21869400"/>
          <a:ext cx="396000" cy="396000"/>
        </a:xfrm>
        <a:prstGeom prst="rect">
          <a:avLst/>
        </a:prstGeom>
      </xdr:spPr>
    </xdr:pic>
    <xdr:clientData/>
  </xdr:twoCellAnchor>
  <xdr:twoCellAnchor editAs="oneCell">
    <xdr:from>
      <xdr:col>1</xdr:col>
      <xdr:colOff>57150</xdr:colOff>
      <xdr:row>96</xdr:row>
      <xdr:rowOff>95250</xdr:rowOff>
    </xdr:from>
    <xdr:to>
      <xdr:col>1</xdr:col>
      <xdr:colOff>453150</xdr:colOff>
      <xdr:row>98</xdr:row>
      <xdr:rowOff>110250</xdr:rowOff>
    </xdr:to>
    <xdr:pic>
      <xdr:nvPicPr>
        <xdr:cNvPr id="12" name="Picture 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4800" y="18726150"/>
          <a:ext cx="396000" cy="396000"/>
        </a:xfrm>
        <a:prstGeom prst="rect">
          <a:avLst/>
        </a:prstGeom>
      </xdr:spPr>
    </xdr:pic>
    <xdr:clientData/>
  </xdr:twoCellAnchor>
  <xdr:twoCellAnchor editAs="oneCell">
    <xdr:from>
      <xdr:col>1</xdr:col>
      <xdr:colOff>47625</xdr:colOff>
      <xdr:row>30</xdr:row>
      <xdr:rowOff>123825</xdr:rowOff>
    </xdr:from>
    <xdr:to>
      <xdr:col>1</xdr:col>
      <xdr:colOff>477951</xdr:colOff>
      <xdr:row>32</xdr:row>
      <xdr:rowOff>136725</xdr:rowOff>
    </xdr:to>
    <xdr:pic>
      <xdr:nvPicPr>
        <xdr:cNvPr id="14" name="Picture 13"/>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7143750"/>
          <a:ext cx="430326" cy="432000"/>
        </a:xfrm>
        <a:prstGeom prst="rect">
          <a:avLst/>
        </a:prstGeom>
      </xdr:spPr>
    </xdr:pic>
    <xdr:clientData/>
  </xdr:twoCellAnchor>
  <xdr:oneCellAnchor>
    <xdr:from>
      <xdr:col>1</xdr:col>
      <xdr:colOff>28575</xdr:colOff>
      <xdr:row>65</xdr:row>
      <xdr:rowOff>104775</xdr:rowOff>
    </xdr:from>
    <xdr:ext cx="360000" cy="360000"/>
    <xdr:pic>
      <xdr:nvPicPr>
        <xdr:cNvPr id="15" name="Picture 1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225" y="14249400"/>
          <a:ext cx="360000" cy="360000"/>
        </a:xfrm>
        <a:prstGeom prst="rect">
          <a:avLst/>
        </a:prstGeom>
      </xdr:spPr>
    </xdr:pic>
    <xdr:clientData/>
  </xdr:oneCellAnchor>
  <xdr:twoCellAnchor editAs="oneCell">
    <xdr:from>
      <xdr:col>1</xdr:col>
      <xdr:colOff>47625</xdr:colOff>
      <xdr:row>98</xdr:row>
      <xdr:rowOff>209550</xdr:rowOff>
    </xdr:from>
    <xdr:to>
      <xdr:col>1</xdr:col>
      <xdr:colOff>477951</xdr:colOff>
      <xdr:row>101</xdr:row>
      <xdr:rowOff>22425</xdr:rowOff>
    </xdr:to>
    <xdr:pic>
      <xdr:nvPicPr>
        <xdr:cNvPr id="19" name="Picture 18"/>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295275" y="21031200"/>
          <a:ext cx="430326" cy="432000"/>
        </a:xfrm>
        <a:prstGeom prst="rect">
          <a:avLst/>
        </a:prstGeom>
      </xdr:spPr>
    </xdr:pic>
    <xdr:clientData/>
  </xdr:twoCellAnchor>
  <xdr:twoCellAnchor editAs="oneCell">
    <xdr:from>
      <xdr:col>1</xdr:col>
      <xdr:colOff>57150</xdr:colOff>
      <xdr:row>21</xdr:row>
      <xdr:rowOff>0</xdr:rowOff>
    </xdr:from>
    <xdr:to>
      <xdr:col>1</xdr:col>
      <xdr:colOff>525150</xdr:colOff>
      <xdr:row>23</xdr:row>
      <xdr:rowOff>87000</xdr:rowOff>
    </xdr:to>
    <xdr:pic>
      <xdr:nvPicPr>
        <xdr:cNvPr id="21" name="Picture 2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0" y="5248275"/>
          <a:ext cx="468000" cy="468000"/>
        </a:xfrm>
        <a:prstGeom prst="rect">
          <a:avLst/>
        </a:prstGeom>
      </xdr:spPr>
    </xdr:pic>
    <xdr:clientData/>
  </xdr:twoCellAnchor>
  <xdr:oneCellAnchor>
    <xdr:from>
      <xdr:col>1</xdr:col>
      <xdr:colOff>66675</xdr:colOff>
      <xdr:row>28</xdr:row>
      <xdr:rowOff>76200</xdr:rowOff>
    </xdr:from>
    <xdr:ext cx="396000" cy="396000"/>
    <xdr:pic>
      <xdr:nvPicPr>
        <xdr:cNvPr id="22" name="Picture 2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14325" y="6715125"/>
          <a:ext cx="396000" cy="396000"/>
        </a:xfrm>
        <a:prstGeom prst="rect">
          <a:avLst/>
        </a:prstGeom>
      </xdr:spPr>
    </xdr:pic>
    <xdr:clientData/>
  </xdr:oneCellAnchor>
  <xdr:twoCellAnchor editAs="oneCell">
    <xdr:from>
      <xdr:col>1</xdr:col>
      <xdr:colOff>28575</xdr:colOff>
      <xdr:row>67</xdr:row>
      <xdr:rowOff>114300</xdr:rowOff>
    </xdr:from>
    <xdr:to>
      <xdr:col>1</xdr:col>
      <xdr:colOff>388575</xdr:colOff>
      <xdr:row>69</xdr:row>
      <xdr:rowOff>102825</xdr:rowOff>
    </xdr:to>
    <xdr:pic>
      <xdr:nvPicPr>
        <xdr:cNvPr id="18" name="Picture 1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76225" y="14639925"/>
          <a:ext cx="360000" cy="360000"/>
        </a:xfrm>
        <a:prstGeom prst="rect">
          <a:avLst/>
        </a:prstGeom>
      </xdr:spPr>
    </xdr:pic>
    <xdr:clientData/>
  </xdr:twoCellAnchor>
  <xdr:twoCellAnchor>
    <xdr:from>
      <xdr:col>12</xdr:col>
      <xdr:colOff>276225</xdr:colOff>
      <xdr:row>1</xdr:row>
      <xdr:rowOff>95250</xdr:rowOff>
    </xdr:from>
    <xdr:to>
      <xdr:col>13</xdr:col>
      <xdr:colOff>142875</xdr:colOff>
      <xdr:row>3</xdr:row>
      <xdr:rowOff>66675</xdr:rowOff>
    </xdr:to>
    <xdr:sp macro="" textlink="">
      <xdr:nvSpPr>
        <xdr:cNvPr id="20" name="Up Arrow 19">
          <a:hlinkClick xmlns:r="http://schemas.openxmlformats.org/officeDocument/2006/relationships" r:id="rId13" tooltip="Back to top"/>
        </xdr:cNvPr>
        <xdr:cNvSpPr/>
      </xdr:nvSpPr>
      <xdr:spPr>
        <a:xfrm>
          <a:off x="8801100" y="390525"/>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114300</xdr:colOff>
      <xdr:row>1</xdr:row>
      <xdr:rowOff>123826</xdr:rowOff>
    </xdr:from>
    <xdr:to>
      <xdr:col>2</xdr:col>
      <xdr:colOff>875100</xdr:colOff>
      <xdr:row>3</xdr:row>
      <xdr:rowOff>66826</xdr:rowOff>
    </xdr:to>
    <xdr:sp macro="" textlink="">
      <xdr:nvSpPr>
        <xdr:cNvPr id="2" name="Rectangle à coins arrondis 2">
          <a:hlinkClick xmlns:r="http://schemas.openxmlformats.org/officeDocument/2006/relationships" r:id="rId1" tooltip="Back to H&amp;C"/>
        </xdr:cNvPr>
        <xdr:cNvSpPr>
          <a:spLocks noChangeArrowheads="1"/>
        </xdr:cNvSpPr>
      </xdr:nvSpPr>
      <xdr:spPr bwMode="auto">
        <a:xfrm>
          <a:off x="428625" y="419101"/>
          <a:ext cx="198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3</xdr:col>
      <xdr:colOff>409575</xdr:colOff>
      <xdr:row>1</xdr:row>
      <xdr:rowOff>123825</xdr:rowOff>
    </xdr:from>
    <xdr:to>
      <xdr:col>5</xdr:col>
      <xdr:colOff>112125</xdr:colOff>
      <xdr:row>3</xdr:row>
      <xdr:rowOff>66825</xdr:rowOff>
    </xdr:to>
    <xdr:sp macro="" textlink="">
      <xdr:nvSpPr>
        <xdr:cNvPr id="3" name="Rectangle à coins arrondis 4">
          <a:hlinkClick xmlns:r="http://schemas.openxmlformats.org/officeDocument/2006/relationships" r:id="rId2" tooltip="Scorecard"/>
        </xdr:cNvPr>
        <xdr:cNvSpPr>
          <a:spLocks noChangeArrowheads="1"/>
        </xdr:cNvSpPr>
      </xdr:nvSpPr>
      <xdr:spPr bwMode="auto">
        <a:xfrm>
          <a:off x="3162300" y="4191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38100</xdr:colOff>
      <xdr:row>34</xdr:row>
      <xdr:rowOff>95250</xdr:rowOff>
    </xdr:from>
    <xdr:to>
      <xdr:col>1</xdr:col>
      <xdr:colOff>578100</xdr:colOff>
      <xdr:row>37</xdr:row>
      <xdr:rowOff>6600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52425" y="7324725"/>
          <a:ext cx="540000" cy="540000"/>
        </a:xfrm>
        <a:prstGeom prst="rect">
          <a:avLst/>
        </a:prstGeom>
      </xdr:spPr>
    </xdr:pic>
    <xdr:clientData/>
  </xdr:twoCellAnchor>
  <xdr:twoCellAnchor editAs="oneCell">
    <xdr:from>
      <xdr:col>1</xdr:col>
      <xdr:colOff>47625</xdr:colOff>
      <xdr:row>43</xdr:row>
      <xdr:rowOff>66675</xdr:rowOff>
    </xdr:from>
    <xdr:to>
      <xdr:col>1</xdr:col>
      <xdr:colOff>515625</xdr:colOff>
      <xdr:row>45</xdr:row>
      <xdr:rowOff>153675</xdr:rowOff>
    </xdr:to>
    <xdr:pic>
      <xdr:nvPicPr>
        <xdr:cNvPr id="5" name="Picture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950" y="9201150"/>
          <a:ext cx="468000" cy="468000"/>
        </a:xfrm>
        <a:prstGeom prst="rect">
          <a:avLst/>
        </a:prstGeom>
      </xdr:spPr>
    </xdr:pic>
    <xdr:clientData/>
  </xdr:twoCellAnchor>
  <xdr:oneCellAnchor>
    <xdr:from>
      <xdr:col>1</xdr:col>
      <xdr:colOff>9525</xdr:colOff>
      <xdr:row>14</xdr:row>
      <xdr:rowOff>95250</xdr:rowOff>
    </xdr:from>
    <xdr:ext cx="396000" cy="396000"/>
    <xdr:pic>
      <xdr:nvPicPr>
        <xdr:cNvPr id="6" name="Picture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3850" y="3295650"/>
          <a:ext cx="396000" cy="396000"/>
        </a:xfrm>
        <a:prstGeom prst="rect">
          <a:avLst/>
        </a:prstGeom>
      </xdr:spPr>
    </xdr:pic>
    <xdr:clientData/>
  </xdr:oneCellAnchor>
  <xdr:oneCellAnchor>
    <xdr:from>
      <xdr:col>1</xdr:col>
      <xdr:colOff>28575</xdr:colOff>
      <xdr:row>46</xdr:row>
      <xdr:rowOff>114300</xdr:rowOff>
    </xdr:from>
    <xdr:ext cx="360000" cy="360000"/>
    <xdr:pic>
      <xdr:nvPicPr>
        <xdr:cNvPr id="7" name="Picture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76225" y="14316075"/>
          <a:ext cx="360000" cy="360000"/>
        </a:xfrm>
        <a:prstGeom prst="rect">
          <a:avLst/>
        </a:prstGeom>
      </xdr:spPr>
    </xdr:pic>
    <xdr:clientData/>
  </xdr:oneCellAnchor>
  <xdr:twoCellAnchor editAs="oneCell">
    <xdr:from>
      <xdr:col>1</xdr:col>
      <xdr:colOff>47625</xdr:colOff>
      <xdr:row>17</xdr:row>
      <xdr:rowOff>171450</xdr:rowOff>
    </xdr:from>
    <xdr:to>
      <xdr:col>1</xdr:col>
      <xdr:colOff>477951</xdr:colOff>
      <xdr:row>20</xdr:row>
      <xdr:rowOff>31950</xdr:rowOff>
    </xdr:to>
    <xdr:pic>
      <xdr:nvPicPr>
        <xdr:cNvPr id="8" name="Picture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1950" y="3914775"/>
          <a:ext cx="430326" cy="432000"/>
        </a:xfrm>
        <a:prstGeom prst="rect">
          <a:avLst/>
        </a:prstGeom>
      </xdr:spPr>
    </xdr:pic>
    <xdr:clientData/>
  </xdr:twoCellAnchor>
  <xdr:twoCellAnchor>
    <xdr:from>
      <xdr:col>7</xdr:col>
      <xdr:colOff>1333500</xdr:colOff>
      <xdr:row>1</xdr:row>
      <xdr:rowOff>104775</xdr:rowOff>
    </xdr:from>
    <xdr:to>
      <xdr:col>8</xdr:col>
      <xdr:colOff>161925</xdr:colOff>
      <xdr:row>3</xdr:row>
      <xdr:rowOff>76200</xdr:rowOff>
    </xdr:to>
    <xdr:sp macro="" textlink="">
      <xdr:nvSpPr>
        <xdr:cNvPr id="10" name="Up Arrow 9">
          <a:hlinkClick xmlns:r="http://schemas.openxmlformats.org/officeDocument/2006/relationships" r:id="rId8" tooltip="Back to top"/>
        </xdr:cNvPr>
        <xdr:cNvSpPr/>
      </xdr:nvSpPr>
      <xdr:spPr>
        <a:xfrm>
          <a:off x="9067800"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11</xdr:col>
      <xdr:colOff>19050</xdr:colOff>
      <xdr:row>12</xdr:row>
      <xdr:rowOff>23812</xdr:rowOff>
    </xdr:from>
    <xdr:ext cx="65" cy="172227"/>
    <xdr:sp macro="" textlink="">
      <xdr:nvSpPr>
        <xdr:cNvPr id="5" name="TextBox 4"/>
        <xdr:cNvSpPr txBox="1"/>
      </xdr:nvSpPr>
      <xdr:spPr>
        <a:xfrm>
          <a:off x="7058025" y="2643187"/>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9</xdr:col>
      <xdr:colOff>142874</xdr:colOff>
      <xdr:row>4</xdr:row>
      <xdr:rowOff>257174</xdr:rowOff>
    </xdr:from>
    <xdr:to>
      <xdr:col>11</xdr:col>
      <xdr:colOff>552450</xdr:colOff>
      <xdr:row>4</xdr:row>
      <xdr:rowOff>857250</xdr:rowOff>
    </xdr:to>
    <xdr:sp macro="" textlink="">
      <xdr:nvSpPr>
        <xdr:cNvPr id="4" name="Rectangle à coins arrondis 2">
          <a:hlinkClick xmlns:r="http://schemas.openxmlformats.org/officeDocument/2006/relationships" r:id="rId1" tooltip="Feedback "/>
        </xdr:cNvPr>
        <xdr:cNvSpPr>
          <a:spLocks noChangeArrowheads="1"/>
        </xdr:cNvSpPr>
      </xdr:nvSpPr>
      <xdr:spPr bwMode="auto">
        <a:xfrm>
          <a:off x="7019924" y="1381124"/>
          <a:ext cx="1838326" cy="1"/>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400" b="0" i="0" u="none" strike="noStrike" baseline="0">
              <a:solidFill>
                <a:srgbClr val="943634"/>
              </a:solidFill>
              <a:latin typeface="Arial" panose="020B0604020202020204" pitchFamily="34" charset="0"/>
              <a:cs typeface="Arial" panose="020B0604020202020204" pitchFamily="34" charset="0"/>
            </a:rPr>
            <a:t>Click here to give your feedback </a:t>
          </a:r>
        </a:p>
      </xdr:txBody>
    </xdr:sp>
    <xdr:clientData/>
  </xdr:twoCellAnchor>
  <xdr:twoCellAnchor>
    <xdr:from>
      <xdr:col>11</xdr:col>
      <xdr:colOff>247647</xdr:colOff>
      <xdr:row>1</xdr:row>
      <xdr:rowOff>47623</xdr:rowOff>
    </xdr:from>
    <xdr:to>
      <xdr:col>13</xdr:col>
      <xdr:colOff>430347</xdr:colOff>
      <xdr:row>2</xdr:row>
      <xdr:rowOff>133498</xdr:rowOff>
    </xdr:to>
    <xdr:sp macro="" textlink="">
      <xdr:nvSpPr>
        <xdr:cNvPr id="7" name="Rectangle à coins arrondis 2">
          <a:hlinkClick xmlns:r="http://schemas.openxmlformats.org/officeDocument/2006/relationships" r:id="rId2" tooltip="Recommendations"/>
        </xdr:cNvPr>
        <xdr:cNvSpPr>
          <a:spLocks noChangeArrowheads="1"/>
        </xdr:cNvSpPr>
      </xdr:nvSpPr>
      <xdr:spPr bwMode="auto">
        <a:xfrm>
          <a:off x="8362947" y="428623"/>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943634"/>
              </a:solidFill>
              <a:effectLst/>
              <a:latin typeface="Arial" panose="020B0604020202020204" pitchFamily="34" charset="0"/>
              <a:ea typeface="+mn-ea"/>
              <a:cs typeface="Arial" panose="020B0604020202020204" pitchFamily="34" charset="0"/>
            </a:rPr>
            <a:t>Recommendations</a:t>
          </a:r>
          <a:endParaRPr lang="fr-FR" sz="1200" b="0" i="0" u="none" strike="noStrike" baseline="0">
            <a:solidFill>
              <a:srgbClr val="943634"/>
            </a:solidFill>
            <a:latin typeface="Arial" pitchFamily="34" charset="0"/>
            <a:cs typeface="Arial" pitchFamily="34" charset="0"/>
          </a:endParaRPr>
        </a:p>
      </xdr:txBody>
    </xdr:sp>
    <xdr:clientData/>
  </xdr:twoCellAnchor>
  <xdr:twoCellAnchor>
    <xdr:from>
      <xdr:col>13</xdr:col>
      <xdr:colOff>514725</xdr:colOff>
      <xdr:row>1</xdr:row>
      <xdr:rowOff>47624</xdr:rowOff>
    </xdr:from>
    <xdr:to>
      <xdr:col>16</xdr:col>
      <xdr:colOff>68775</xdr:colOff>
      <xdr:row>2</xdr:row>
      <xdr:rowOff>133499</xdr:rowOff>
    </xdr:to>
    <xdr:sp macro="" textlink="">
      <xdr:nvSpPr>
        <xdr:cNvPr id="8" name="Rectangle à coins arrondis 2">
          <a:hlinkClick xmlns:r="http://schemas.openxmlformats.org/officeDocument/2006/relationships" r:id="rId3" tooltip="Scorecard"/>
        </xdr:cNvPr>
        <xdr:cNvSpPr>
          <a:spLocks noChangeArrowheads="1"/>
        </xdr:cNvSpPr>
      </xdr:nvSpPr>
      <xdr:spPr bwMode="auto">
        <a:xfrm>
          <a:off x="9887325" y="428624"/>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9</xdr:col>
      <xdr:colOff>295274</xdr:colOff>
      <xdr:row>2</xdr:row>
      <xdr:rowOff>228599</xdr:rowOff>
    </xdr:from>
    <xdr:to>
      <xdr:col>11</xdr:col>
      <xdr:colOff>173174</xdr:colOff>
      <xdr:row>4</xdr:row>
      <xdr:rowOff>76349</xdr:rowOff>
    </xdr:to>
    <xdr:sp macro="" textlink="">
      <xdr:nvSpPr>
        <xdr:cNvPr id="10" name="Rectangle à coins arrondis 2">
          <a:hlinkClick xmlns:r="http://schemas.openxmlformats.org/officeDocument/2006/relationships" r:id="rId4" tooltip="Project Information"/>
        </xdr:cNvPr>
        <xdr:cNvSpPr>
          <a:spLocks noChangeArrowheads="1"/>
        </xdr:cNvSpPr>
      </xdr:nvSpPr>
      <xdr:spPr bwMode="auto">
        <a:xfrm>
          <a:off x="6848474" y="847724"/>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Project Information</a:t>
          </a:r>
        </a:p>
      </xdr:txBody>
    </xdr:sp>
    <xdr:clientData/>
  </xdr:twoCellAnchor>
  <xdr:twoCellAnchor>
    <xdr:from>
      <xdr:col>11</xdr:col>
      <xdr:colOff>257549</xdr:colOff>
      <xdr:row>2</xdr:row>
      <xdr:rowOff>228599</xdr:rowOff>
    </xdr:from>
    <xdr:to>
      <xdr:col>13</xdr:col>
      <xdr:colOff>440249</xdr:colOff>
      <xdr:row>4</xdr:row>
      <xdr:rowOff>76349</xdr:rowOff>
    </xdr:to>
    <xdr:sp macro="" textlink="">
      <xdr:nvSpPr>
        <xdr:cNvPr id="11" name="Rectangle à coins arrondis 2">
          <a:hlinkClick xmlns:r="http://schemas.openxmlformats.org/officeDocument/2006/relationships" r:id="rId5" tooltip="Graphical Results"/>
        </xdr:cNvPr>
        <xdr:cNvSpPr>
          <a:spLocks noChangeArrowheads="1"/>
        </xdr:cNvSpPr>
      </xdr:nvSpPr>
      <xdr:spPr bwMode="auto">
        <a:xfrm>
          <a:off x="8372849" y="847724"/>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Graphical Results </a:t>
          </a:r>
        </a:p>
      </xdr:txBody>
    </xdr:sp>
    <xdr:clientData/>
  </xdr:twoCellAnchor>
  <xdr:twoCellAnchor>
    <xdr:from>
      <xdr:col>9</xdr:col>
      <xdr:colOff>295274</xdr:colOff>
      <xdr:row>1</xdr:row>
      <xdr:rowOff>47625</xdr:rowOff>
    </xdr:from>
    <xdr:to>
      <xdr:col>11</xdr:col>
      <xdr:colOff>173174</xdr:colOff>
      <xdr:row>2</xdr:row>
      <xdr:rowOff>133500</xdr:rowOff>
    </xdr:to>
    <xdr:sp macro="" textlink="">
      <xdr:nvSpPr>
        <xdr:cNvPr id="12" name="Rectangle à coins arrondis 2">
          <a:hlinkClick xmlns:r="http://schemas.openxmlformats.org/officeDocument/2006/relationships" r:id="rId6" tooltip="Introduction"/>
        </xdr:cNvPr>
        <xdr:cNvSpPr>
          <a:spLocks noChangeArrowheads="1"/>
        </xdr:cNvSpPr>
      </xdr:nvSpPr>
      <xdr:spPr bwMode="auto">
        <a:xfrm>
          <a:off x="6848474" y="428625"/>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twoCellAnchor>
    <xdr:from>
      <xdr:col>1</xdr:col>
      <xdr:colOff>0</xdr:colOff>
      <xdr:row>26</xdr:row>
      <xdr:rowOff>190499</xdr:rowOff>
    </xdr:from>
    <xdr:to>
      <xdr:col>14</xdr:col>
      <xdr:colOff>390528</xdr:colOff>
      <xdr:row>67</xdr:row>
      <xdr:rowOff>57150</xdr:rowOff>
    </xdr:to>
    <xdr:graphicFrame macro="">
      <xdr:nvGraphicFramePr>
        <xdr:cNvPr id="19" name="Diagram 18"/>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clientData/>
  </xdr:twoCellAnchor>
  <xdr:twoCellAnchor>
    <xdr:from>
      <xdr:col>2</xdr:col>
      <xdr:colOff>552450</xdr:colOff>
      <xdr:row>59</xdr:row>
      <xdr:rowOff>161925</xdr:rowOff>
    </xdr:from>
    <xdr:to>
      <xdr:col>6</xdr:col>
      <xdr:colOff>213975</xdr:colOff>
      <xdr:row>61</xdr:row>
      <xdr:rowOff>104925</xdr:rowOff>
    </xdr:to>
    <xdr:sp macro="" textlink="">
      <xdr:nvSpPr>
        <xdr:cNvPr id="20" name="Rectangle à coins arrondis 2">
          <a:hlinkClick xmlns:r="http://schemas.openxmlformats.org/officeDocument/2006/relationships" r:id="rId12" tooltip="Pre-assessment checklist"/>
        </xdr:cNvPr>
        <xdr:cNvSpPr>
          <a:spLocks noChangeArrowheads="1"/>
        </xdr:cNvSpPr>
      </xdr:nvSpPr>
      <xdr:spPr bwMode="auto">
        <a:xfrm>
          <a:off x="1638300" y="12125325"/>
          <a:ext cx="2785725"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marL="0" marR="0" indent="0" algn="ctr" defTabSz="914400" rtl="0" eaLnBrk="1" fontAlgn="auto" latinLnBrk="0" hangingPunct="1">
            <a:lnSpc>
              <a:spcPct val="100000"/>
            </a:lnSpc>
            <a:spcBef>
              <a:spcPts val="0"/>
            </a:spcBef>
            <a:spcAft>
              <a:spcPts val="0"/>
            </a:spcAft>
            <a:buClrTx/>
            <a:buSzTx/>
            <a:buFontTx/>
            <a:buNone/>
            <a:tabLst/>
            <a:defRPr sz="1000"/>
          </a:pPr>
          <a:r>
            <a:rPr lang="en-US" sz="1400" b="1">
              <a:solidFill>
                <a:srgbClr val="943634"/>
              </a:solidFill>
              <a:effectLst/>
              <a:latin typeface="+mn-lt"/>
              <a:ea typeface="+mn-ea"/>
              <a:cs typeface="+mn-cs"/>
            </a:rPr>
            <a:t>Pre-assessment checklist</a:t>
          </a:r>
          <a:endParaRPr lang="en-US" sz="1400" b="1">
            <a:solidFill>
              <a:srgbClr val="943634"/>
            </a:solidFill>
            <a:effectLst/>
          </a:endParaRPr>
        </a:p>
      </xdr:txBody>
    </xdr:sp>
    <xdr:clientData/>
  </xdr:twoCellAnchor>
  <xdr:twoCellAnchor>
    <xdr:from>
      <xdr:col>7</xdr:col>
      <xdr:colOff>114300</xdr:colOff>
      <xdr:row>59</xdr:row>
      <xdr:rowOff>171450</xdr:rowOff>
    </xdr:from>
    <xdr:to>
      <xdr:col>10</xdr:col>
      <xdr:colOff>213975</xdr:colOff>
      <xdr:row>61</xdr:row>
      <xdr:rowOff>114450</xdr:rowOff>
    </xdr:to>
    <xdr:sp macro="" textlink="">
      <xdr:nvSpPr>
        <xdr:cNvPr id="21" name="Rectangle à coins arrondis 2">
          <a:hlinkClick xmlns:r="http://schemas.openxmlformats.org/officeDocument/2006/relationships" r:id="rId13" tooltip="Certification stage checklist"/>
        </xdr:cNvPr>
        <xdr:cNvSpPr>
          <a:spLocks noChangeArrowheads="1"/>
        </xdr:cNvSpPr>
      </xdr:nvSpPr>
      <xdr:spPr bwMode="auto">
        <a:xfrm>
          <a:off x="5105400" y="12134850"/>
          <a:ext cx="2442825"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marL="0" marR="0" indent="0" algn="ctr" defTabSz="914400" rtl="0" eaLnBrk="1" fontAlgn="auto" latinLnBrk="0" hangingPunct="1">
            <a:lnSpc>
              <a:spcPct val="100000"/>
            </a:lnSpc>
            <a:spcBef>
              <a:spcPts val="0"/>
            </a:spcBef>
            <a:spcAft>
              <a:spcPts val="0"/>
            </a:spcAft>
            <a:buClrTx/>
            <a:buSzTx/>
            <a:buFont typeface="Arial" panose="020B0604020202020204" pitchFamily="34" charset="0"/>
            <a:buNone/>
            <a:tabLst/>
            <a:defRPr sz="1000"/>
          </a:pPr>
          <a:r>
            <a:rPr lang="en-US" sz="1400" b="1">
              <a:solidFill>
                <a:srgbClr val="943634"/>
              </a:solidFill>
              <a:effectLst/>
              <a:latin typeface="+mn-lt"/>
              <a:ea typeface="+mn-ea"/>
              <a:cs typeface="+mn-cs"/>
            </a:rPr>
            <a:t>Certification stage checklist</a:t>
          </a:r>
          <a:endParaRPr lang="en-US" sz="1400" b="1">
            <a:solidFill>
              <a:srgbClr val="943634"/>
            </a:solidFill>
            <a:effectLst/>
          </a:endParaRPr>
        </a:p>
      </xdr:txBody>
    </xdr:sp>
    <xdr:clientData/>
  </xdr:twoCellAnchor>
  <xdr:twoCellAnchor editAs="oneCell">
    <xdr:from>
      <xdr:col>3</xdr:col>
      <xdr:colOff>533400</xdr:colOff>
      <xdr:row>24</xdr:row>
      <xdr:rowOff>28575</xdr:rowOff>
    </xdr:from>
    <xdr:to>
      <xdr:col>4</xdr:col>
      <xdr:colOff>220350</xdr:colOff>
      <xdr:row>24</xdr:row>
      <xdr:rowOff>496575</xdr:rowOff>
    </xdr:to>
    <xdr:pic>
      <xdr:nvPicPr>
        <xdr:cNvPr id="22" name="Picture 21"/>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400300" y="4981575"/>
          <a:ext cx="468000" cy="468000"/>
        </a:xfrm>
        <a:prstGeom prst="rect">
          <a:avLst/>
        </a:prstGeom>
      </xdr:spPr>
    </xdr:pic>
    <xdr:clientData/>
  </xdr:twoCellAnchor>
  <xdr:twoCellAnchor editAs="oneCell">
    <xdr:from>
      <xdr:col>1</xdr:col>
      <xdr:colOff>447675</xdr:colOff>
      <xdr:row>24</xdr:row>
      <xdr:rowOff>28575</xdr:rowOff>
    </xdr:from>
    <xdr:to>
      <xdr:col>2</xdr:col>
      <xdr:colOff>134625</xdr:colOff>
      <xdr:row>24</xdr:row>
      <xdr:rowOff>496575</xdr:rowOff>
    </xdr:to>
    <xdr:pic>
      <xdr:nvPicPr>
        <xdr:cNvPr id="24" name="Picture 23"/>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52475" y="4981575"/>
          <a:ext cx="468000" cy="468000"/>
        </a:xfrm>
        <a:prstGeom prst="rect">
          <a:avLst/>
        </a:prstGeom>
      </xdr:spPr>
    </xdr:pic>
    <xdr:clientData/>
  </xdr:twoCellAnchor>
  <xdr:twoCellAnchor editAs="oneCell">
    <xdr:from>
      <xdr:col>5</xdr:col>
      <xdr:colOff>533400</xdr:colOff>
      <xdr:row>24</xdr:row>
      <xdr:rowOff>28575</xdr:rowOff>
    </xdr:from>
    <xdr:to>
      <xdr:col>6</xdr:col>
      <xdr:colOff>220350</xdr:colOff>
      <xdr:row>24</xdr:row>
      <xdr:rowOff>496575</xdr:rowOff>
    </xdr:to>
    <xdr:pic>
      <xdr:nvPicPr>
        <xdr:cNvPr id="26" name="Picture 25"/>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695700" y="4981575"/>
          <a:ext cx="468000" cy="468000"/>
        </a:xfrm>
        <a:prstGeom prst="rect">
          <a:avLst/>
        </a:prstGeom>
      </xdr:spPr>
    </xdr:pic>
    <xdr:clientData/>
  </xdr:twoCellAnchor>
  <xdr:twoCellAnchor editAs="oneCell">
    <xdr:from>
      <xdr:col>9</xdr:col>
      <xdr:colOff>581025</xdr:colOff>
      <xdr:row>24</xdr:row>
      <xdr:rowOff>28575</xdr:rowOff>
    </xdr:from>
    <xdr:to>
      <xdr:col>10</xdr:col>
      <xdr:colOff>267975</xdr:colOff>
      <xdr:row>24</xdr:row>
      <xdr:rowOff>496575</xdr:rowOff>
    </xdr:to>
    <xdr:pic>
      <xdr:nvPicPr>
        <xdr:cNvPr id="27" name="Picture 26"/>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7134225" y="4981575"/>
          <a:ext cx="468000" cy="468000"/>
        </a:xfrm>
        <a:prstGeom prst="rect">
          <a:avLst/>
        </a:prstGeom>
      </xdr:spPr>
    </xdr:pic>
    <xdr:clientData/>
  </xdr:twoCellAnchor>
  <xdr:twoCellAnchor editAs="oneCell">
    <xdr:from>
      <xdr:col>7</xdr:col>
      <xdr:colOff>495300</xdr:colOff>
      <xdr:row>24</xdr:row>
      <xdr:rowOff>9525</xdr:rowOff>
    </xdr:from>
    <xdr:to>
      <xdr:col>8</xdr:col>
      <xdr:colOff>216296</xdr:colOff>
      <xdr:row>24</xdr:row>
      <xdr:rowOff>513525</xdr:rowOff>
    </xdr:to>
    <xdr:pic>
      <xdr:nvPicPr>
        <xdr:cNvPr id="28" name="Picture 27"/>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486400" y="4962525"/>
          <a:ext cx="502046" cy="504000"/>
        </a:xfrm>
        <a:prstGeom prst="rect">
          <a:avLst/>
        </a:prstGeom>
      </xdr:spPr>
    </xdr:pic>
    <xdr:clientData/>
  </xdr:twoCellAnchor>
  <xdr:twoCellAnchor>
    <xdr:from>
      <xdr:col>13</xdr:col>
      <xdr:colOff>522150</xdr:colOff>
      <xdr:row>2</xdr:row>
      <xdr:rowOff>228600</xdr:rowOff>
    </xdr:from>
    <xdr:to>
      <xdr:col>16</xdr:col>
      <xdr:colOff>76200</xdr:colOff>
      <xdr:row>4</xdr:row>
      <xdr:rowOff>76350</xdr:rowOff>
    </xdr:to>
    <xdr:sp macro="" textlink="">
      <xdr:nvSpPr>
        <xdr:cNvPr id="17" name="Rectangle à coins arrondis 2">
          <a:hlinkClick xmlns:r="http://schemas.openxmlformats.org/officeDocument/2006/relationships" r:id="rId19" tooltip="Glossary"/>
        </xdr:cNvPr>
        <xdr:cNvSpPr>
          <a:spLocks noChangeArrowheads="1"/>
        </xdr:cNvSpPr>
      </xdr:nvSpPr>
      <xdr:spPr bwMode="auto">
        <a:xfrm>
          <a:off x="9894750" y="847725"/>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Glossary</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161925</xdr:colOff>
      <xdr:row>1</xdr:row>
      <xdr:rowOff>133351</xdr:rowOff>
    </xdr:from>
    <xdr:to>
      <xdr:col>2</xdr:col>
      <xdr:colOff>850725</xdr:colOff>
      <xdr:row>3</xdr:row>
      <xdr:rowOff>76351</xdr:rowOff>
    </xdr:to>
    <xdr:sp macro="" textlink="">
      <xdr:nvSpPr>
        <xdr:cNvPr id="2" name="Rectangle à coins arrondis 2">
          <a:hlinkClick xmlns:r="http://schemas.openxmlformats.org/officeDocument/2006/relationships" r:id="rId1" tooltip="Back to H&amp;C"/>
        </xdr:cNvPr>
        <xdr:cNvSpPr>
          <a:spLocks noChangeArrowheads="1"/>
        </xdr:cNvSpPr>
      </xdr:nvSpPr>
      <xdr:spPr bwMode="auto">
        <a:xfrm>
          <a:off x="476250" y="428626"/>
          <a:ext cx="1908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Health &amp; Comfort</a:t>
          </a:r>
        </a:p>
      </xdr:txBody>
    </xdr:sp>
    <xdr:clientData/>
  </xdr:twoCellAnchor>
  <xdr:twoCellAnchor>
    <xdr:from>
      <xdr:col>2</xdr:col>
      <xdr:colOff>1133475</xdr:colOff>
      <xdr:row>1</xdr:row>
      <xdr:rowOff>133350</xdr:rowOff>
    </xdr:from>
    <xdr:to>
      <xdr:col>4</xdr:col>
      <xdr:colOff>485550</xdr:colOff>
      <xdr:row>3</xdr:row>
      <xdr:rowOff>76350</xdr:rowOff>
    </xdr:to>
    <xdr:sp macro="" textlink="">
      <xdr:nvSpPr>
        <xdr:cNvPr id="3" name="Rectangle à coins arrondis 4">
          <a:hlinkClick xmlns:r="http://schemas.openxmlformats.org/officeDocument/2006/relationships" r:id="rId2" tooltip="Scorecard"/>
        </xdr:cNvPr>
        <xdr:cNvSpPr>
          <a:spLocks noChangeArrowheads="1"/>
        </xdr:cNvSpPr>
      </xdr:nvSpPr>
      <xdr:spPr bwMode="auto">
        <a:xfrm>
          <a:off x="2667000" y="428625"/>
          <a:ext cx="180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838200</xdr:colOff>
      <xdr:row>1</xdr:row>
      <xdr:rowOff>142875</xdr:rowOff>
    </xdr:from>
    <xdr:to>
      <xdr:col>5</xdr:col>
      <xdr:colOff>689475</xdr:colOff>
      <xdr:row>3</xdr:row>
      <xdr:rowOff>49875</xdr:rowOff>
    </xdr:to>
    <xdr:sp macro="" textlink="">
      <xdr:nvSpPr>
        <xdr:cNvPr id="4" name="Rectangle à coins arrondis 2">
          <a:hlinkClick xmlns:r="http://schemas.openxmlformats.org/officeDocument/2006/relationships" r:id="rId3" tooltip="H-BPC-1"/>
        </xdr:cNvPr>
        <xdr:cNvSpPr>
          <a:spLocks noChangeArrowheads="1"/>
        </xdr:cNvSpPr>
      </xdr:nvSpPr>
      <xdr:spPr bwMode="auto">
        <a:xfrm>
          <a:off x="4819650" y="438150"/>
          <a:ext cx="10800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H-BPC-1</a:t>
          </a:r>
        </a:p>
      </xdr:txBody>
    </xdr:sp>
    <xdr:clientData/>
  </xdr:twoCellAnchor>
  <xdr:twoCellAnchor>
    <xdr:from>
      <xdr:col>5</xdr:col>
      <xdr:colOff>885825</xdr:colOff>
      <xdr:row>1</xdr:row>
      <xdr:rowOff>142875</xdr:rowOff>
    </xdr:from>
    <xdr:to>
      <xdr:col>6</xdr:col>
      <xdr:colOff>660900</xdr:colOff>
      <xdr:row>3</xdr:row>
      <xdr:rowOff>49875</xdr:rowOff>
    </xdr:to>
    <xdr:sp macro="" textlink="">
      <xdr:nvSpPr>
        <xdr:cNvPr id="5" name="Rectangle à coins arrondis 2">
          <a:hlinkClick xmlns:r="http://schemas.openxmlformats.org/officeDocument/2006/relationships" r:id="rId4" tooltip="H-BPC-2"/>
        </xdr:cNvPr>
        <xdr:cNvSpPr>
          <a:spLocks noChangeArrowheads="1"/>
        </xdr:cNvSpPr>
      </xdr:nvSpPr>
      <xdr:spPr bwMode="auto">
        <a:xfrm>
          <a:off x="6096000" y="438150"/>
          <a:ext cx="1003800"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H-BPC-2</a:t>
          </a:r>
        </a:p>
      </xdr:txBody>
    </xdr:sp>
    <xdr:clientData/>
  </xdr:twoCellAnchor>
  <xdr:twoCellAnchor>
    <xdr:from>
      <xdr:col>6</xdr:col>
      <xdr:colOff>847725</xdr:colOff>
      <xdr:row>1</xdr:row>
      <xdr:rowOff>142875</xdr:rowOff>
    </xdr:from>
    <xdr:to>
      <xdr:col>7</xdr:col>
      <xdr:colOff>565650</xdr:colOff>
      <xdr:row>3</xdr:row>
      <xdr:rowOff>49875</xdr:rowOff>
    </xdr:to>
    <xdr:sp macro="" textlink="">
      <xdr:nvSpPr>
        <xdr:cNvPr id="6" name="Rectangle à coins arrondis 2">
          <a:hlinkClick xmlns:r="http://schemas.openxmlformats.org/officeDocument/2006/relationships" r:id="rId5" tooltip="H-BPC-3"/>
        </xdr:cNvPr>
        <xdr:cNvSpPr>
          <a:spLocks noChangeArrowheads="1"/>
        </xdr:cNvSpPr>
      </xdr:nvSpPr>
      <xdr:spPr bwMode="auto">
        <a:xfrm>
          <a:off x="7286625" y="438150"/>
          <a:ext cx="1013325" cy="288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H-BPC-3</a:t>
          </a:r>
        </a:p>
      </xdr:txBody>
    </xdr:sp>
    <xdr:clientData/>
  </xdr:twoCellAnchor>
  <xdr:twoCellAnchor editAs="oneCell">
    <xdr:from>
      <xdr:col>1</xdr:col>
      <xdr:colOff>19050</xdr:colOff>
      <xdr:row>78</xdr:row>
      <xdr:rowOff>95250</xdr:rowOff>
    </xdr:from>
    <xdr:to>
      <xdr:col>1</xdr:col>
      <xdr:colOff>413516</xdr:colOff>
      <xdr:row>80</xdr:row>
      <xdr:rowOff>110250</xdr:rowOff>
    </xdr:to>
    <xdr:pic>
      <xdr:nvPicPr>
        <xdr:cNvPr id="15" name="Picture 1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33375" y="15097125"/>
          <a:ext cx="394466" cy="396000"/>
        </a:xfrm>
        <a:prstGeom prst="rect">
          <a:avLst/>
        </a:prstGeom>
      </xdr:spPr>
    </xdr:pic>
    <xdr:clientData/>
  </xdr:twoCellAnchor>
  <xdr:twoCellAnchor editAs="oneCell">
    <xdr:from>
      <xdr:col>1</xdr:col>
      <xdr:colOff>38100</xdr:colOff>
      <xdr:row>80</xdr:row>
      <xdr:rowOff>161925</xdr:rowOff>
    </xdr:from>
    <xdr:to>
      <xdr:col>1</xdr:col>
      <xdr:colOff>398100</xdr:colOff>
      <xdr:row>82</xdr:row>
      <xdr:rowOff>102825</xdr:rowOff>
    </xdr:to>
    <xdr:pic>
      <xdr:nvPicPr>
        <xdr:cNvPr id="16" name="Picture 1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425" y="15163800"/>
          <a:ext cx="360000" cy="360000"/>
        </a:xfrm>
        <a:prstGeom prst="rect">
          <a:avLst/>
        </a:prstGeom>
      </xdr:spPr>
    </xdr:pic>
    <xdr:clientData/>
  </xdr:twoCellAnchor>
  <xdr:oneCellAnchor>
    <xdr:from>
      <xdr:col>1</xdr:col>
      <xdr:colOff>28575</xdr:colOff>
      <xdr:row>93</xdr:row>
      <xdr:rowOff>133350</xdr:rowOff>
    </xdr:from>
    <xdr:ext cx="360000" cy="360000"/>
    <xdr:pic>
      <xdr:nvPicPr>
        <xdr:cNvPr id="17" name="Picture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18335625"/>
          <a:ext cx="360000" cy="360000"/>
        </a:xfrm>
        <a:prstGeom prst="rect">
          <a:avLst/>
        </a:prstGeom>
      </xdr:spPr>
    </xdr:pic>
    <xdr:clientData/>
  </xdr:oneCellAnchor>
  <xdr:twoCellAnchor editAs="oneCell">
    <xdr:from>
      <xdr:col>1</xdr:col>
      <xdr:colOff>38100</xdr:colOff>
      <xdr:row>124</xdr:row>
      <xdr:rowOff>123825</xdr:rowOff>
    </xdr:from>
    <xdr:to>
      <xdr:col>1</xdr:col>
      <xdr:colOff>398100</xdr:colOff>
      <xdr:row>126</xdr:row>
      <xdr:rowOff>93300</xdr:rowOff>
    </xdr:to>
    <xdr:pic>
      <xdr:nvPicPr>
        <xdr:cNvPr id="18" name="Picture 1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2425" y="24784050"/>
          <a:ext cx="360000" cy="360000"/>
        </a:xfrm>
        <a:prstGeom prst="rect">
          <a:avLst/>
        </a:prstGeom>
      </xdr:spPr>
    </xdr:pic>
    <xdr:clientData/>
  </xdr:twoCellAnchor>
  <xdr:twoCellAnchor editAs="oneCell">
    <xdr:from>
      <xdr:col>1</xdr:col>
      <xdr:colOff>9525</xdr:colOff>
      <xdr:row>127</xdr:row>
      <xdr:rowOff>104775</xdr:rowOff>
    </xdr:from>
    <xdr:to>
      <xdr:col>1</xdr:col>
      <xdr:colOff>405525</xdr:colOff>
      <xdr:row>129</xdr:row>
      <xdr:rowOff>119775</xdr:rowOff>
    </xdr:to>
    <xdr:pic>
      <xdr:nvPicPr>
        <xdr:cNvPr id="19" name="Picture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3850" y="24974550"/>
          <a:ext cx="396000" cy="396000"/>
        </a:xfrm>
        <a:prstGeom prst="rect">
          <a:avLst/>
        </a:prstGeom>
      </xdr:spPr>
    </xdr:pic>
    <xdr:clientData/>
  </xdr:twoCellAnchor>
  <xdr:oneCellAnchor>
    <xdr:from>
      <xdr:col>1</xdr:col>
      <xdr:colOff>38100</xdr:colOff>
      <xdr:row>130</xdr:row>
      <xdr:rowOff>114300</xdr:rowOff>
    </xdr:from>
    <xdr:ext cx="360000" cy="360000"/>
    <xdr:pic>
      <xdr:nvPicPr>
        <xdr:cNvPr id="20" name="Picture 1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52425" y="25555575"/>
          <a:ext cx="360000" cy="360000"/>
        </a:xfrm>
        <a:prstGeom prst="rect">
          <a:avLst/>
        </a:prstGeom>
      </xdr:spPr>
    </xdr:pic>
    <xdr:clientData/>
  </xdr:oneCellAnchor>
  <xdr:twoCellAnchor editAs="oneCell">
    <xdr:from>
      <xdr:col>1</xdr:col>
      <xdr:colOff>28575</xdr:colOff>
      <xdr:row>22</xdr:row>
      <xdr:rowOff>104775</xdr:rowOff>
    </xdr:from>
    <xdr:to>
      <xdr:col>1</xdr:col>
      <xdr:colOff>388575</xdr:colOff>
      <xdr:row>24</xdr:row>
      <xdr:rowOff>83775</xdr:rowOff>
    </xdr:to>
    <xdr:pic>
      <xdr:nvPicPr>
        <xdr:cNvPr id="21" name="Picture 2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5572125"/>
          <a:ext cx="360000" cy="360000"/>
        </a:xfrm>
        <a:prstGeom prst="rect">
          <a:avLst/>
        </a:prstGeom>
      </xdr:spPr>
    </xdr:pic>
    <xdr:clientData/>
  </xdr:twoCellAnchor>
  <xdr:twoCellAnchor editAs="oneCell">
    <xdr:from>
      <xdr:col>1</xdr:col>
      <xdr:colOff>28575</xdr:colOff>
      <xdr:row>52</xdr:row>
      <xdr:rowOff>9525</xdr:rowOff>
    </xdr:from>
    <xdr:to>
      <xdr:col>1</xdr:col>
      <xdr:colOff>424575</xdr:colOff>
      <xdr:row>54</xdr:row>
      <xdr:rowOff>24525</xdr:rowOff>
    </xdr:to>
    <xdr:pic>
      <xdr:nvPicPr>
        <xdr:cNvPr id="24" name="Picture 2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42900" y="11334750"/>
          <a:ext cx="396000" cy="396000"/>
        </a:xfrm>
        <a:prstGeom prst="rect">
          <a:avLst/>
        </a:prstGeom>
      </xdr:spPr>
    </xdr:pic>
    <xdr:clientData/>
  </xdr:twoCellAnchor>
  <xdr:oneCellAnchor>
    <xdr:from>
      <xdr:col>1</xdr:col>
      <xdr:colOff>28575</xdr:colOff>
      <xdr:row>48</xdr:row>
      <xdr:rowOff>104775</xdr:rowOff>
    </xdr:from>
    <xdr:ext cx="360000" cy="360000"/>
    <xdr:pic>
      <xdr:nvPicPr>
        <xdr:cNvPr id="25" name="Picture 2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5591175"/>
          <a:ext cx="360000" cy="360000"/>
        </a:xfrm>
        <a:prstGeom prst="rect">
          <a:avLst/>
        </a:prstGeom>
      </xdr:spPr>
    </xdr:pic>
    <xdr:clientData/>
  </xdr:oneCellAnchor>
  <xdr:oneCellAnchor>
    <xdr:from>
      <xdr:col>1</xdr:col>
      <xdr:colOff>28575</xdr:colOff>
      <xdr:row>55</xdr:row>
      <xdr:rowOff>95250</xdr:rowOff>
    </xdr:from>
    <xdr:ext cx="360000" cy="360000"/>
    <xdr:pic>
      <xdr:nvPicPr>
        <xdr:cNvPr id="32" name="Picture 3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11991975"/>
          <a:ext cx="360000" cy="360000"/>
        </a:xfrm>
        <a:prstGeom prst="rect">
          <a:avLst/>
        </a:prstGeom>
      </xdr:spPr>
    </xdr:pic>
    <xdr:clientData/>
  </xdr:oneCellAnchor>
  <xdr:oneCellAnchor>
    <xdr:from>
      <xdr:col>1</xdr:col>
      <xdr:colOff>28575</xdr:colOff>
      <xdr:row>24</xdr:row>
      <xdr:rowOff>142875</xdr:rowOff>
    </xdr:from>
    <xdr:ext cx="360000" cy="360000"/>
    <xdr:pic>
      <xdr:nvPicPr>
        <xdr:cNvPr id="33" name="Picture 3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42900" y="6010275"/>
          <a:ext cx="360000" cy="360000"/>
        </a:xfrm>
        <a:prstGeom prst="rect">
          <a:avLst/>
        </a:prstGeom>
      </xdr:spPr>
    </xdr:pic>
    <xdr:clientData/>
  </xdr:oneCellAnchor>
  <xdr:twoCellAnchor>
    <xdr:from>
      <xdr:col>7</xdr:col>
      <xdr:colOff>1362075</xdr:colOff>
      <xdr:row>1</xdr:row>
      <xdr:rowOff>104775</xdr:rowOff>
    </xdr:from>
    <xdr:to>
      <xdr:col>8</xdr:col>
      <xdr:colOff>190500</xdr:colOff>
      <xdr:row>3</xdr:row>
      <xdr:rowOff>76200</xdr:rowOff>
    </xdr:to>
    <xdr:sp macro="" textlink="">
      <xdr:nvSpPr>
        <xdr:cNvPr id="29" name="Up Arrow 28">
          <a:hlinkClick xmlns:r="http://schemas.openxmlformats.org/officeDocument/2006/relationships" r:id="rId10" tooltip="Back to top"/>
        </xdr:cNvPr>
        <xdr:cNvSpPr/>
      </xdr:nvSpPr>
      <xdr:spPr>
        <a:xfrm>
          <a:off x="9096375" y="400050"/>
          <a:ext cx="447675" cy="352425"/>
        </a:xfrm>
        <a:prstGeom prst="upArrow">
          <a:avLst/>
        </a:prstGeom>
        <a:solidFill>
          <a:srgbClr val="943634"/>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1.xml><?xml version="1.0" encoding="utf-8"?>
<xdr:wsDr xmlns:xdr="http://schemas.openxmlformats.org/drawingml/2006/spreadsheetDrawing" xmlns:a="http://schemas.openxmlformats.org/drawingml/2006/main">
  <xdr:twoCellAnchor editAs="oneCell">
    <xdr:from>
      <xdr:col>9</xdr:col>
      <xdr:colOff>158750</xdr:colOff>
      <xdr:row>0</xdr:row>
      <xdr:rowOff>63499</xdr:rowOff>
    </xdr:from>
    <xdr:to>
      <xdr:col>11</xdr:col>
      <xdr:colOff>151405</xdr:colOff>
      <xdr:row>2</xdr:row>
      <xdr:rowOff>181390</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9715500" y="63499"/>
          <a:ext cx="860488" cy="901058"/>
        </a:xfrm>
        <a:prstGeom prst="rect">
          <a:avLst/>
        </a:prstGeom>
      </xdr:spPr>
    </xdr:pic>
    <xdr:clientData/>
  </xdr:twoCellAnchor>
  <xdr:twoCellAnchor>
    <xdr:from>
      <xdr:col>0</xdr:col>
      <xdr:colOff>275166</xdr:colOff>
      <xdr:row>14</xdr:row>
      <xdr:rowOff>52917</xdr:rowOff>
    </xdr:from>
    <xdr:to>
      <xdr:col>1</xdr:col>
      <xdr:colOff>1874166</xdr:colOff>
      <xdr:row>16</xdr:row>
      <xdr:rowOff>67917</xdr:rowOff>
    </xdr:to>
    <xdr:sp macro="" textlink="">
      <xdr:nvSpPr>
        <xdr:cNvPr id="5" name="Rectangle à coins arrondis 2">
          <a:hlinkClick xmlns:r="http://schemas.openxmlformats.org/officeDocument/2006/relationships" r:id="rId2" tooltip="Scorecard"/>
        </xdr:cNvPr>
        <xdr:cNvSpPr>
          <a:spLocks noChangeArrowheads="1"/>
        </xdr:cNvSpPr>
      </xdr:nvSpPr>
      <xdr:spPr bwMode="auto">
        <a:xfrm>
          <a:off x="275166" y="4497917"/>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238124</xdr:colOff>
      <xdr:row>1</xdr:row>
      <xdr:rowOff>114301</xdr:rowOff>
    </xdr:from>
    <xdr:to>
      <xdr:col>2</xdr:col>
      <xdr:colOff>453749</xdr:colOff>
      <xdr:row>3</xdr:row>
      <xdr:rowOff>57301</xdr:rowOff>
    </xdr:to>
    <xdr:sp macro="" textlink="">
      <xdr:nvSpPr>
        <xdr:cNvPr id="2" name="Rectangle à coins arrondis 2">
          <a:hlinkClick xmlns:r="http://schemas.openxmlformats.org/officeDocument/2006/relationships" r:id="rId1" tooltip="Back to LE"/>
        </xdr:cNvPr>
        <xdr:cNvSpPr>
          <a:spLocks noChangeArrowheads="1"/>
        </xdr:cNvSpPr>
      </xdr:nvSpPr>
      <xdr:spPr bwMode="auto">
        <a:xfrm>
          <a:off x="238124" y="409576"/>
          <a:ext cx="1692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LE</a:t>
          </a:r>
        </a:p>
      </xdr:txBody>
    </xdr:sp>
    <xdr:clientData/>
  </xdr:twoCellAnchor>
  <xdr:twoCellAnchor>
    <xdr:from>
      <xdr:col>4</xdr:col>
      <xdr:colOff>257175</xdr:colOff>
      <xdr:row>1</xdr:row>
      <xdr:rowOff>133350</xdr:rowOff>
    </xdr:from>
    <xdr:to>
      <xdr:col>5</xdr:col>
      <xdr:colOff>450</xdr:colOff>
      <xdr:row>3</xdr:row>
      <xdr:rowOff>40350</xdr:rowOff>
    </xdr:to>
    <xdr:sp macro="" textlink="">
      <xdr:nvSpPr>
        <xdr:cNvPr id="6" name="Rectangle à coins arrondis 2">
          <a:hlinkClick xmlns:r="http://schemas.openxmlformats.org/officeDocument/2006/relationships" r:id="rId2" tooltip="Strategy A"/>
        </xdr:cNvPr>
        <xdr:cNvSpPr>
          <a:spLocks noChangeArrowheads="1"/>
        </xdr:cNvSpPr>
      </xdr:nvSpPr>
      <xdr:spPr bwMode="auto">
        <a:xfrm>
          <a:off x="4210050" y="428625"/>
          <a:ext cx="972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95249</xdr:colOff>
      <xdr:row>1</xdr:row>
      <xdr:rowOff>133350</xdr:rowOff>
    </xdr:from>
    <xdr:to>
      <xdr:col>5</xdr:col>
      <xdr:colOff>1067249</xdr:colOff>
      <xdr:row>3</xdr:row>
      <xdr:rowOff>40350</xdr:rowOff>
    </xdr:to>
    <xdr:sp macro="" textlink="">
      <xdr:nvSpPr>
        <xdr:cNvPr id="7" name="Rectangle à coins arrondis 2">
          <a:hlinkClick xmlns:r="http://schemas.openxmlformats.org/officeDocument/2006/relationships" r:id="rId3" tooltip="Strategy B"/>
        </xdr:cNvPr>
        <xdr:cNvSpPr>
          <a:spLocks noChangeArrowheads="1"/>
        </xdr:cNvSpPr>
      </xdr:nvSpPr>
      <xdr:spPr bwMode="auto">
        <a:xfrm>
          <a:off x="5276849" y="428625"/>
          <a:ext cx="972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5</xdr:col>
      <xdr:colOff>1162049</xdr:colOff>
      <xdr:row>1</xdr:row>
      <xdr:rowOff>133350</xdr:rowOff>
    </xdr:from>
    <xdr:to>
      <xdr:col>6</xdr:col>
      <xdr:colOff>952949</xdr:colOff>
      <xdr:row>3</xdr:row>
      <xdr:rowOff>40350</xdr:rowOff>
    </xdr:to>
    <xdr:sp macro="" textlink="">
      <xdr:nvSpPr>
        <xdr:cNvPr id="5" name="Rectangle à coins arrondis 2">
          <a:hlinkClick xmlns:r="http://schemas.openxmlformats.org/officeDocument/2006/relationships" r:id="rId4" tooltip="Strategy C"/>
        </xdr:cNvPr>
        <xdr:cNvSpPr>
          <a:spLocks noChangeArrowheads="1"/>
        </xdr:cNvSpPr>
      </xdr:nvSpPr>
      <xdr:spPr bwMode="auto">
        <a:xfrm>
          <a:off x="6343649" y="428625"/>
          <a:ext cx="972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6</xdr:col>
      <xdr:colOff>1047749</xdr:colOff>
      <xdr:row>1</xdr:row>
      <xdr:rowOff>133350</xdr:rowOff>
    </xdr:from>
    <xdr:to>
      <xdr:col>7</xdr:col>
      <xdr:colOff>857699</xdr:colOff>
      <xdr:row>3</xdr:row>
      <xdr:rowOff>40350</xdr:rowOff>
    </xdr:to>
    <xdr:sp macro="" textlink="">
      <xdr:nvSpPr>
        <xdr:cNvPr id="8" name="Rectangle à coins arrondis 2">
          <a:hlinkClick xmlns:r="http://schemas.openxmlformats.org/officeDocument/2006/relationships" r:id="rId5" tooltip="Strategy D"/>
        </xdr:cNvPr>
        <xdr:cNvSpPr>
          <a:spLocks noChangeArrowheads="1"/>
        </xdr:cNvSpPr>
      </xdr:nvSpPr>
      <xdr:spPr bwMode="auto">
        <a:xfrm>
          <a:off x="7410449" y="428625"/>
          <a:ext cx="972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xdr:from>
      <xdr:col>2</xdr:col>
      <xdr:colOff>742950</xdr:colOff>
      <xdr:row>1</xdr:row>
      <xdr:rowOff>114300</xdr:rowOff>
    </xdr:from>
    <xdr:to>
      <xdr:col>3</xdr:col>
      <xdr:colOff>1187175</xdr:colOff>
      <xdr:row>3</xdr:row>
      <xdr:rowOff>57300</xdr:rowOff>
    </xdr:to>
    <xdr:sp macro="" textlink="">
      <xdr:nvSpPr>
        <xdr:cNvPr id="9" name="Rectangle à coins arrondis 2">
          <a:hlinkClick xmlns:r="http://schemas.openxmlformats.org/officeDocument/2006/relationships" r:id="rId6" tooltip="Scorecard"/>
        </xdr:cNvPr>
        <xdr:cNvSpPr>
          <a:spLocks noChangeArrowheads="1"/>
        </xdr:cNvSpPr>
      </xdr:nvSpPr>
      <xdr:spPr bwMode="auto">
        <a:xfrm>
          <a:off x="2219325" y="409575"/>
          <a:ext cx="1692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0</xdr:colOff>
      <xdr:row>20</xdr:row>
      <xdr:rowOff>85725</xdr:rowOff>
    </xdr:from>
    <xdr:to>
      <xdr:col>1</xdr:col>
      <xdr:colOff>396000</xdr:colOff>
      <xdr:row>22</xdr:row>
      <xdr:rowOff>100725</xdr:rowOff>
    </xdr:to>
    <xdr:pic>
      <xdr:nvPicPr>
        <xdr:cNvPr id="10" name="Picture 9"/>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7650" y="5305425"/>
          <a:ext cx="396000" cy="396000"/>
        </a:xfrm>
        <a:prstGeom prst="rect">
          <a:avLst/>
        </a:prstGeom>
      </xdr:spPr>
    </xdr:pic>
    <xdr:clientData/>
  </xdr:twoCellAnchor>
  <xdr:twoCellAnchor editAs="oneCell">
    <xdr:from>
      <xdr:col>1</xdr:col>
      <xdr:colOff>28575</xdr:colOff>
      <xdr:row>22</xdr:row>
      <xdr:rowOff>161925</xdr:rowOff>
    </xdr:from>
    <xdr:to>
      <xdr:col>1</xdr:col>
      <xdr:colOff>388575</xdr:colOff>
      <xdr:row>24</xdr:row>
      <xdr:rowOff>74250</xdr:rowOff>
    </xdr:to>
    <xdr:pic>
      <xdr:nvPicPr>
        <xdr:cNvPr id="11" name="Picture 1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76225" y="5762625"/>
          <a:ext cx="360000" cy="360000"/>
        </a:xfrm>
        <a:prstGeom prst="rect">
          <a:avLst/>
        </a:prstGeom>
      </xdr:spPr>
    </xdr:pic>
    <xdr:clientData/>
  </xdr:twoCellAnchor>
  <xdr:oneCellAnchor>
    <xdr:from>
      <xdr:col>1</xdr:col>
      <xdr:colOff>0</xdr:colOff>
      <xdr:row>60</xdr:row>
      <xdr:rowOff>85725</xdr:rowOff>
    </xdr:from>
    <xdr:ext cx="396000" cy="396000"/>
    <xdr:pic>
      <xdr:nvPicPr>
        <xdr:cNvPr id="12" name="Picture 1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7650" y="5305425"/>
          <a:ext cx="396000" cy="396000"/>
        </a:xfrm>
        <a:prstGeom prst="rect">
          <a:avLst/>
        </a:prstGeom>
      </xdr:spPr>
    </xdr:pic>
    <xdr:clientData/>
  </xdr:oneCellAnchor>
  <xdr:oneCellAnchor>
    <xdr:from>
      <xdr:col>1</xdr:col>
      <xdr:colOff>0</xdr:colOff>
      <xdr:row>84</xdr:row>
      <xdr:rowOff>85725</xdr:rowOff>
    </xdr:from>
    <xdr:ext cx="396000" cy="396000"/>
    <xdr:pic>
      <xdr:nvPicPr>
        <xdr:cNvPr id="13" name="Picture 1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7650" y="14535150"/>
          <a:ext cx="396000" cy="396000"/>
        </a:xfrm>
        <a:prstGeom prst="rect">
          <a:avLst/>
        </a:prstGeom>
      </xdr:spPr>
    </xdr:pic>
    <xdr:clientData/>
  </xdr:oneCellAnchor>
  <xdr:oneCellAnchor>
    <xdr:from>
      <xdr:col>1</xdr:col>
      <xdr:colOff>0</xdr:colOff>
      <xdr:row>106</xdr:row>
      <xdr:rowOff>85725</xdr:rowOff>
    </xdr:from>
    <xdr:ext cx="396000" cy="396000"/>
    <xdr:pic>
      <xdr:nvPicPr>
        <xdr:cNvPr id="14" name="Picture 1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47650" y="18640425"/>
          <a:ext cx="396000" cy="396000"/>
        </a:xfrm>
        <a:prstGeom prst="rect">
          <a:avLst/>
        </a:prstGeom>
      </xdr:spPr>
    </xdr:pic>
    <xdr:clientData/>
  </xdr:oneCellAnchor>
  <xdr:oneCellAnchor>
    <xdr:from>
      <xdr:col>1</xdr:col>
      <xdr:colOff>38100</xdr:colOff>
      <xdr:row>62</xdr:row>
      <xdr:rowOff>161925</xdr:rowOff>
    </xdr:from>
    <xdr:ext cx="360000" cy="360000"/>
    <xdr:pic>
      <xdr:nvPicPr>
        <xdr:cNvPr id="15" name="Picture 1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0" y="14992350"/>
          <a:ext cx="360000" cy="360000"/>
        </a:xfrm>
        <a:prstGeom prst="rect">
          <a:avLst/>
        </a:prstGeom>
      </xdr:spPr>
    </xdr:pic>
    <xdr:clientData/>
  </xdr:oneCellAnchor>
  <xdr:twoCellAnchor editAs="oneCell">
    <xdr:from>
      <xdr:col>1</xdr:col>
      <xdr:colOff>0</xdr:colOff>
      <xdr:row>108</xdr:row>
      <xdr:rowOff>114300</xdr:rowOff>
    </xdr:from>
    <xdr:to>
      <xdr:col>1</xdr:col>
      <xdr:colOff>394465</xdr:colOff>
      <xdr:row>110</xdr:row>
      <xdr:rowOff>129300</xdr:rowOff>
    </xdr:to>
    <xdr:pic>
      <xdr:nvPicPr>
        <xdr:cNvPr id="16" name="Picture 15"/>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7650" y="25612725"/>
          <a:ext cx="394465" cy="396000"/>
        </a:xfrm>
        <a:prstGeom prst="rect">
          <a:avLst/>
        </a:prstGeom>
      </xdr:spPr>
    </xdr:pic>
    <xdr:clientData/>
  </xdr:twoCellAnchor>
  <xdr:twoCellAnchor editAs="oneCell">
    <xdr:from>
      <xdr:col>1</xdr:col>
      <xdr:colOff>9525</xdr:colOff>
      <xdr:row>87</xdr:row>
      <xdr:rowOff>0</xdr:rowOff>
    </xdr:from>
    <xdr:to>
      <xdr:col>1</xdr:col>
      <xdr:colOff>403990</xdr:colOff>
      <xdr:row>89</xdr:row>
      <xdr:rowOff>15000</xdr:rowOff>
    </xdr:to>
    <xdr:pic>
      <xdr:nvPicPr>
        <xdr:cNvPr id="17" name="Picture 1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57175" y="20669250"/>
          <a:ext cx="394465" cy="396000"/>
        </a:xfrm>
        <a:prstGeom prst="rect">
          <a:avLst/>
        </a:prstGeom>
      </xdr:spPr>
    </xdr:pic>
    <xdr:clientData/>
  </xdr:twoCellAnchor>
  <xdr:oneCellAnchor>
    <xdr:from>
      <xdr:col>1</xdr:col>
      <xdr:colOff>38100</xdr:colOff>
      <xdr:row>111</xdr:row>
      <xdr:rowOff>57150</xdr:rowOff>
    </xdr:from>
    <xdr:ext cx="360000" cy="360000"/>
    <xdr:pic>
      <xdr:nvPicPr>
        <xdr:cNvPr id="18" name="Picture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85750" y="25688925"/>
          <a:ext cx="360000" cy="360000"/>
        </a:xfrm>
        <a:prstGeom prst="rect">
          <a:avLst/>
        </a:prstGeom>
      </xdr:spPr>
    </xdr:pic>
    <xdr:clientData/>
  </xdr:oneCellAnchor>
  <xdr:twoCellAnchor>
    <xdr:from>
      <xdr:col>7</xdr:col>
      <xdr:colOff>1085850</xdr:colOff>
      <xdr:row>1</xdr:row>
      <xdr:rowOff>95250</xdr:rowOff>
    </xdr:from>
    <xdr:to>
      <xdr:col>8</xdr:col>
      <xdr:colOff>257175</xdr:colOff>
      <xdr:row>3</xdr:row>
      <xdr:rowOff>66675</xdr:rowOff>
    </xdr:to>
    <xdr:sp macro="" textlink="">
      <xdr:nvSpPr>
        <xdr:cNvPr id="19" name="Up Arrow 18">
          <a:hlinkClick xmlns:r="http://schemas.openxmlformats.org/officeDocument/2006/relationships" r:id="rId10" tooltip="Back to top"/>
        </xdr:cNvPr>
        <xdr:cNvSpPr/>
      </xdr:nvSpPr>
      <xdr:spPr>
        <a:xfrm>
          <a:off x="8610600" y="390525"/>
          <a:ext cx="447675"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5</xdr:col>
      <xdr:colOff>619124</xdr:colOff>
      <xdr:row>35</xdr:row>
      <xdr:rowOff>152399</xdr:rowOff>
    </xdr:from>
    <xdr:to>
      <xdr:col>8</xdr:col>
      <xdr:colOff>238125</xdr:colOff>
      <xdr:row>37</xdr:row>
      <xdr:rowOff>59398</xdr:rowOff>
    </xdr:to>
    <xdr:sp macro="" textlink="">
      <xdr:nvSpPr>
        <xdr:cNvPr id="6" name="Rectangle à coins arrondis 2">
          <a:hlinkClick xmlns:r="http://schemas.openxmlformats.org/officeDocument/2006/relationships" r:id="rId1" tooltip="Resources"/>
        </xdr:cNvPr>
        <xdr:cNvSpPr>
          <a:spLocks noChangeArrowheads="1"/>
        </xdr:cNvSpPr>
      </xdr:nvSpPr>
      <xdr:spPr bwMode="auto">
        <a:xfrm>
          <a:off x="5924549" y="7829549"/>
          <a:ext cx="3333751" cy="326099"/>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an example of site analysis plan.</a:t>
          </a:r>
        </a:p>
      </xdr:txBody>
    </xdr:sp>
    <xdr:clientData/>
  </xdr:twoCellAnchor>
  <xdr:twoCellAnchor>
    <xdr:from>
      <xdr:col>0</xdr:col>
      <xdr:colOff>228600</xdr:colOff>
      <xdr:row>1</xdr:row>
      <xdr:rowOff>114300</xdr:rowOff>
    </xdr:from>
    <xdr:to>
      <xdr:col>2</xdr:col>
      <xdr:colOff>949350</xdr:colOff>
      <xdr:row>3</xdr:row>
      <xdr:rowOff>57300</xdr:rowOff>
    </xdr:to>
    <xdr:sp macro="" textlink="">
      <xdr:nvSpPr>
        <xdr:cNvPr id="8" name="Rectangle à coins arrondis 7">
          <a:hlinkClick xmlns:r="http://schemas.openxmlformats.org/officeDocument/2006/relationships" r:id="rId2" tooltip="Back to Local Environment"/>
        </xdr:cNvPr>
        <xdr:cNvSpPr>
          <a:spLocks noChangeArrowheads="1"/>
        </xdr:cNvSpPr>
      </xdr:nvSpPr>
      <xdr:spPr bwMode="auto">
        <a:xfrm>
          <a:off x="228600" y="419100"/>
          <a:ext cx="234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38099</xdr:colOff>
      <xdr:row>1</xdr:row>
      <xdr:rowOff>123825</xdr:rowOff>
    </xdr:from>
    <xdr:to>
      <xdr:col>4</xdr:col>
      <xdr:colOff>731249</xdr:colOff>
      <xdr:row>3</xdr:row>
      <xdr:rowOff>66825</xdr:rowOff>
    </xdr:to>
    <xdr:sp macro="" textlink="">
      <xdr:nvSpPr>
        <xdr:cNvPr id="9" name="Rectangle à coins arrondis 2">
          <a:hlinkClick xmlns:r="http://schemas.openxmlformats.org/officeDocument/2006/relationships" r:id="rId3" tooltip="Scorecard"/>
        </xdr:cNvPr>
        <xdr:cNvSpPr>
          <a:spLocks noChangeArrowheads="1"/>
        </xdr:cNvSpPr>
      </xdr:nvSpPr>
      <xdr:spPr bwMode="auto">
        <a:xfrm>
          <a:off x="2886074" y="428625"/>
          <a:ext cx="192187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1000125</xdr:colOff>
      <xdr:row>1</xdr:row>
      <xdr:rowOff>142875</xdr:rowOff>
    </xdr:from>
    <xdr:to>
      <xdr:col>5</xdr:col>
      <xdr:colOff>743400</xdr:colOff>
      <xdr:row>3</xdr:row>
      <xdr:rowOff>49875</xdr:rowOff>
    </xdr:to>
    <xdr:sp macro="" textlink="">
      <xdr:nvSpPr>
        <xdr:cNvPr id="10" name="Rectangle à coins arrondis 2">
          <a:hlinkClick xmlns:r="http://schemas.openxmlformats.org/officeDocument/2006/relationships" r:id="rId4" tooltip="Strategy A"/>
        </xdr:cNvPr>
        <xdr:cNvSpPr>
          <a:spLocks noChangeArrowheads="1"/>
        </xdr:cNvSpPr>
      </xdr:nvSpPr>
      <xdr:spPr bwMode="auto">
        <a:xfrm>
          <a:off x="5076825" y="447675"/>
          <a:ext cx="972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838199</xdr:colOff>
      <xdr:row>1</xdr:row>
      <xdr:rowOff>142875</xdr:rowOff>
    </xdr:from>
    <xdr:to>
      <xdr:col>6</xdr:col>
      <xdr:colOff>571949</xdr:colOff>
      <xdr:row>3</xdr:row>
      <xdr:rowOff>49875</xdr:rowOff>
    </xdr:to>
    <xdr:sp macro="" textlink="">
      <xdr:nvSpPr>
        <xdr:cNvPr id="11" name="Rectangle à coins arrondis 2">
          <a:hlinkClick xmlns:r="http://schemas.openxmlformats.org/officeDocument/2006/relationships" r:id="rId5" tooltip="Strategy B"/>
        </xdr:cNvPr>
        <xdr:cNvSpPr>
          <a:spLocks noChangeArrowheads="1"/>
        </xdr:cNvSpPr>
      </xdr:nvSpPr>
      <xdr:spPr bwMode="auto">
        <a:xfrm>
          <a:off x="6143624" y="447675"/>
          <a:ext cx="972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editAs="oneCell">
    <xdr:from>
      <xdr:col>1</xdr:col>
      <xdr:colOff>0</xdr:colOff>
      <xdr:row>18</xdr:row>
      <xdr:rowOff>57150</xdr:rowOff>
    </xdr:from>
    <xdr:to>
      <xdr:col>1</xdr:col>
      <xdr:colOff>396000</xdr:colOff>
      <xdr:row>20</xdr:row>
      <xdr:rowOff>110250</xdr:rowOff>
    </xdr:to>
    <xdr:pic>
      <xdr:nvPicPr>
        <xdr:cNvPr id="12" name="Picture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0525" y="4533900"/>
          <a:ext cx="396000" cy="396000"/>
        </a:xfrm>
        <a:prstGeom prst="rect">
          <a:avLst/>
        </a:prstGeom>
      </xdr:spPr>
    </xdr:pic>
    <xdr:clientData/>
  </xdr:twoCellAnchor>
  <xdr:twoCellAnchor editAs="oneCell">
    <xdr:from>
      <xdr:col>1</xdr:col>
      <xdr:colOff>47625</xdr:colOff>
      <xdr:row>25</xdr:row>
      <xdr:rowOff>47625</xdr:rowOff>
    </xdr:from>
    <xdr:to>
      <xdr:col>1</xdr:col>
      <xdr:colOff>587625</xdr:colOff>
      <xdr:row>28</xdr:row>
      <xdr:rowOff>16125</xdr:rowOff>
    </xdr:to>
    <xdr:pic>
      <xdr:nvPicPr>
        <xdr:cNvPr id="2" name="Picture 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8150" y="5819775"/>
          <a:ext cx="540000" cy="540000"/>
        </a:xfrm>
        <a:prstGeom prst="rect">
          <a:avLst/>
        </a:prstGeom>
      </xdr:spPr>
    </xdr:pic>
    <xdr:clientData/>
  </xdr:twoCellAnchor>
  <xdr:oneCellAnchor>
    <xdr:from>
      <xdr:col>0</xdr:col>
      <xdr:colOff>381000</xdr:colOff>
      <xdr:row>67</xdr:row>
      <xdr:rowOff>85725</xdr:rowOff>
    </xdr:from>
    <xdr:ext cx="396000" cy="396000"/>
    <xdr:pic>
      <xdr:nvPicPr>
        <xdr:cNvPr id="13" name="Picture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14439900"/>
          <a:ext cx="396000" cy="396000"/>
        </a:xfrm>
        <a:prstGeom prst="rect">
          <a:avLst/>
        </a:prstGeom>
      </xdr:spPr>
    </xdr:pic>
    <xdr:clientData/>
  </xdr:oneCellAnchor>
  <xdr:oneCellAnchor>
    <xdr:from>
      <xdr:col>1</xdr:col>
      <xdr:colOff>47625</xdr:colOff>
      <xdr:row>33</xdr:row>
      <xdr:rowOff>104775</xdr:rowOff>
    </xdr:from>
    <xdr:ext cx="360000" cy="360000"/>
    <xdr:pic>
      <xdr:nvPicPr>
        <xdr:cNvPr id="14" name="Picture 13"/>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95275" y="26174700"/>
          <a:ext cx="360000" cy="360000"/>
        </a:xfrm>
        <a:prstGeom prst="rect">
          <a:avLst/>
        </a:prstGeom>
      </xdr:spPr>
    </xdr:pic>
    <xdr:clientData/>
  </xdr:oneCellAnchor>
  <xdr:oneCellAnchor>
    <xdr:from>
      <xdr:col>1</xdr:col>
      <xdr:colOff>47625</xdr:colOff>
      <xdr:row>37</xdr:row>
      <xdr:rowOff>104775</xdr:rowOff>
    </xdr:from>
    <xdr:ext cx="360000" cy="360000"/>
    <xdr:pic>
      <xdr:nvPicPr>
        <xdr:cNvPr id="16" name="Picture 1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150" y="7400925"/>
          <a:ext cx="360000" cy="360000"/>
        </a:xfrm>
        <a:prstGeom prst="rect">
          <a:avLst/>
        </a:prstGeom>
      </xdr:spPr>
    </xdr:pic>
    <xdr:clientData/>
  </xdr:oneCellAnchor>
  <xdr:oneCellAnchor>
    <xdr:from>
      <xdr:col>1</xdr:col>
      <xdr:colOff>38100</xdr:colOff>
      <xdr:row>71</xdr:row>
      <xdr:rowOff>57150</xdr:rowOff>
    </xdr:from>
    <xdr:ext cx="360000" cy="360000"/>
    <xdr:pic>
      <xdr:nvPicPr>
        <xdr:cNvPr id="17" name="Picture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8625" y="15516225"/>
          <a:ext cx="360000" cy="360000"/>
        </a:xfrm>
        <a:prstGeom prst="rect">
          <a:avLst/>
        </a:prstGeom>
      </xdr:spPr>
    </xdr:pic>
    <xdr:clientData/>
  </xdr:oneCellAnchor>
  <xdr:twoCellAnchor>
    <xdr:from>
      <xdr:col>6</xdr:col>
      <xdr:colOff>714375</xdr:colOff>
      <xdr:row>1</xdr:row>
      <xdr:rowOff>85725</xdr:rowOff>
    </xdr:from>
    <xdr:to>
      <xdr:col>6</xdr:col>
      <xdr:colOff>1123950</xdr:colOff>
      <xdr:row>3</xdr:row>
      <xdr:rowOff>57150</xdr:rowOff>
    </xdr:to>
    <xdr:sp macro="" textlink="">
      <xdr:nvSpPr>
        <xdr:cNvPr id="15" name="Up Arrow 14">
          <a:hlinkClick xmlns:r="http://schemas.openxmlformats.org/officeDocument/2006/relationships" r:id="rId9" tooltip="Back to top"/>
        </xdr:cNvPr>
        <xdr:cNvSpPr/>
      </xdr:nvSpPr>
      <xdr:spPr>
        <a:xfrm>
          <a:off x="7258050" y="390525"/>
          <a:ext cx="409575"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304800</xdr:colOff>
      <xdr:row>1</xdr:row>
      <xdr:rowOff>114300</xdr:rowOff>
    </xdr:from>
    <xdr:to>
      <xdr:col>2</xdr:col>
      <xdr:colOff>912225</xdr:colOff>
      <xdr:row>3</xdr:row>
      <xdr:rowOff>57300</xdr:rowOff>
    </xdr:to>
    <xdr:sp macro="" textlink="">
      <xdr:nvSpPr>
        <xdr:cNvPr id="5" name="Rectangle à coins arrondis 4">
          <a:hlinkClick xmlns:r="http://schemas.openxmlformats.org/officeDocument/2006/relationships" r:id="rId1" tooltip="Back to Local Environment"/>
        </xdr:cNvPr>
        <xdr:cNvSpPr>
          <a:spLocks noChangeArrowheads="1"/>
        </xdr:cNvSpPr>
      </xdr:nvSpPr>
      <xdr:spPr bwMode="auto">
        <a:xfrm>
          <a:off x="304800" y="419100"/>
          <a:ext cx="216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2</xdr:col>
      <xdr:colOff>1171574</xdr:colOff>
      <xdr:row>1</xdr:row>
      <xdr:rowOff>123825</xdr:rowOff>
    </xdr:from>
    <xdr:to>
      <xdr:col>4</xdr:col>
      <xdr:colOff>514124</xdr:colOff>
      <xdr:row>3</xdr:row>
      <xdr:rowOff>66825</xdr:rowOff>
    </xdr:to>
    <xdr:sp macro="" textlink="">
      <xdr:nvSpPr>
        <xdr:cNvPr id="6" name="Rectangle à coins arrondis 2">
          <a:hlinkClick xmlns:r="http://schemas.openxmlformats.org/officeDocument/2006/relationships" r:id="rId2" tooltip="Scorecard"/>
        </xdr:cNvPr>
        <xdr:cNvSpPr>
          <a:spLocks noChangeArrowheads="1"/>
        </xdr:cNvSpPr>
      </xdr:nvSpPr>
      <xdr:spPr bwMode="auto">
        <a:xfrm>
          <a:off x="2724149" y="428625"/>
          <a:ext cx="180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4</xdr:col>
      <xdr:colOff>904875</xdr:colOff>
      <xdr:row>1</xdr:row>
      <xdr:rowOff>152400</xdr:rowOff>
    </xdr:from>
    <xdr:to>
      <xdr:col>5</xdr:col>
      <xdr:colOff>756150</xdr:colOff>
      <xdr:row>3</xdr:row>
      <xdr:rowOff>59400</xdr:rowOff>
    </xdr:to>
    <xdr:sp macro="" textlink="">
      <xdr:nvSpPr>
        <xdr:cNvPr id="4" name="Rectangle à coins arrondis 2">
          <a:hlinkClick xmlns:r="http://schemas.openxmlformats.org/officeDocument/2006/relationships" r:id="rId3" tooltip="Strategy A"/>
        </xdr:cNvPr>
        <xdr:cNvSpPr>
          <a:spLocks noChangeArrowheads="1"/>
        </xdr:cNvSpPr>
      </xdr:nvSpPr>
      <xdr:spPr bwMode="auto">
        <a:xfrm>
          <a:off x="4914900" y="457200"/>
          <a:ext cx="10800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5</xdr:col>
      <xdr:colOff>847725</xdr:colOff>
      <xdr:row>1</xdr:row>
      <xdr:rowOff>152400</xdr:rowOff>
    </xdr:from>
    <xdr:to>
      <xdr:col>6</xdr:col>
      <xdr:colOff>622800</xdr:colOff>
      <xdr:row>3</xdr:row>
      <xdr:rowOff>59400</xdr:rowOff>
    </xdr:to>
    <xdr:sp macro="" textlink="">
      <xdr:nvSpPr>
        <xdr:cNvPr id="7" name="Rectangle à coins arrondis 2">
          <a:hlinkClick xmlns:r="http://schemas.openxmlformats.org/officeDocument/2006/relationships" r:id="rId4" tooltip="Strategy B"/>
        </xdr:cNvPr>
        <xdr:cNvSpPr>
          <a:spLocks noChangeArrowheads="1"/>
        </xdr:cNvSpPr>
      </xdr:nvSpPr>
      <xdr:spPr bwMode="auto">
        <a:xfrm>
          <a:off x="6086475" y="457200"/>
          <a:ext cx="1003800" cy="288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editAs="oneCell">
    <xdr:from>
      <xdr:col>1</xdr:col>
      <xdr:colOff>0</xdr:colOff>
      <xdr:row>18</xdr:row>
      <xdr:rowOff>104775</xdr:rowOff>
    </xdr:from>
    <xdr:to>
      <xdr:col>1</xdr:col>
      <xdr:colOff>396000</xdr:colOff>
      <xdr:row>20</xdr:row>
      <xdr:rowOff>119775</xdr:rowOff>
    </xdr:to>
    <xdr:pic>
      <xdr:nvPicPr>
        <xdr:cNvPr id="8" name="Picture 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3850" y="4381500"/>
          <a:ext cx="396000" cy="396000"/>
        </a:xfrm>
        <a:prstGeom prst="rect">
          <a:avLst/>
        </a:prstGeom>
      </xdr:spPr>
    </xdr:pic>
    <xdr:clientData/>
  </xdr:twoCellAnchor>
  <xdr:twoCellAnchor editAs="oneCell">
    <xdr:from>
      <xdr:col>1</xdr:col>
      <xdr:colOff>28575</xdr:colOff>
      <xdr:row>24</xdr:row>
      <xdr:rowOff>85725</xdr:rowOff>
    </xdr:from>
    <xdr:to>
      <xdr:col>1</xdr:col>
      <xdr:colOff>388575</xdr:colOff>
      <xdr:row>26</xdr:row>
      <xdr:rowOff>64725</xdr:rowOff>
    </xdr:to>
    <xdr:pic>
      <xdr:nvPicPr>
        <xdr:cNvPr id="9" name="Picture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5143500"/>
          <a:ext cx="360000" cy="360000"/>
        </a:xfrm>
        <a:prstGeom prst="rect">
          <a:avLst/>
        </a:prstGeom>
      </xdr:spPr>
    </xdr:pic>
    <xdr:clientData/>
  </xdr:twoCellAnchor>
  <xdr:twoCellAnchor editAs="oneCell">
    <xdr:from>
      <xdr:col>1</xdr:col>
      <xdr:colOff>0</xdr:colOff>
      <xdr:row>61</xdr:row>
      <xdr:rowOff>95250</xdr:rowOff>
    </xdr:from>
    <xdr:to>
      <xdr:col>1</xdr:col>
      <xdr:colOff>396000</xdr:colOff>
      <xdr:row>63</xdr:row>
      <xdr:rowOff>110250</xdr:rowOff>
    </xdr:to>
    <xdr:pic>
      <xdr:nvPicPr>
        <xdr:cNvPr id="10" name="Picture 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3850" y="11058525"/>
          <a:ext cx="396000" cy="396000"/>
        </a:xfrm>
        <a:prstGeom prst="rect">
          <a:avLst/>
        </a:prstGeom>
      </xdr:spPr>
    </xdr:pic>
    <xdr:clientData/>
  </xdr:twoCellAnchor>
  <xdr:oneCellAnchor>
    <xdr:from>
      <xdr:col>1</xdr:col>
      <xdr:colOff>28575</xdr:colOff>
      <xdr:row>65</xdr:row>
      <xdr:rowOff>104775</xdr:rowOff>
    </xdr:from>
    <xdr:ext cx="360000" cy="360000"/>
    <xdr:pic>
      <xdr:nvPicPr>
        <xdr:cNvPr id="12" name="Picture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52425" y="12182475"/>
          <a:ext cx="360000" cy="360000"/>
        </a:xfrm>
        <a:prstGeom prst="rect">
          <a:avLst/>
        </a:prstGeom>
      </xdr:spPr>
    </xdr:pic>
    <xdr:clientData/>
  </xdr:oneCellAnchor>
  <xdr:twoCellAnchor editAs="oneCell">
    <xdr:from>
      <xdr:col>1</xdr:col>
      <xdr:colOff>19050</xdr:colOff>
      <xdr:row>67</xdr:row>
      <xdr:rowOff>142875</xdr:rowOff>
    </xdr:from>
    <xdr:to>
      <xdr:col>1</xdr:col>
      <xdr:colOff>395765</xdr:colOff>
      <xdr:row>70</xdr:row>
      <xdr:rowOff>45675</xdr:rowOff>
    </xdr:to>
    <xdr:pic>
      <xdr:nvPicPr>
        <xdr:cNvPr id="13" name="Picture 12"/>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2900" y="14544675"/>
          <a:ext cx="376715" cy="360000"/>
        </a:xfrm>
        <a:prstGeom prst="rect">
          <a:avLst/>
        </a:prstGeom>
      </xdr:spPr>
    </xdr:pic>
    <xdr:clientData/>
  </xdr:twoCellAnchor>
  <xdr:twoCellAnchor editAs="oneCell">
    <xdr:from>
      <xdr:col>1</xdr:col>
      <xdr:colOff>9525</xdr:colOff>
      <xdr:row>20</xdr:row>
      <xdr:rowOff>152400</xdr:rowOff>
    </xdr:from>
    <xdr:to>
      <xdr:col>1</xdr:col>
      <xdr:colOff>386240</xdr:colOff>
      <xdr:row>22</xdr:row>
      <xdr:rowOff>93300</xdr:rowOff>
    </xdr:to>
    <xdr:pic>
      <xdr:nvPicPr>
        <xdr:cNvPr id="11" name="Picture 10"/>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33375" y="5114925"/>
          <a:ext cx="376715" cy="360000"/>
        </a:xfrm>
        <a:prstGeom prst="rect">
          <a:avLst/>
        </a:prstGeom>
      </xdr:spPr>
    </xdr:pic>
    <xdr:clientData/>
  </xdr:twoCellAnchor>
  <xdr:twoCellAnchor>
    <xdr:from>
      <xdr:col>6</xdr:col>
      <xdr:colOff>790575</xdr:colOff>
      <xdr:row>1</xdr:row>
      <xdr:rowOff>95250</xdr:rowOff>
    </xdr:from>
    <xdr:to>
      <xdr:col>6</xdr:col>
      <xdr:colOff>1190625</xdr:colOff>
      <xdr:row>3</xdr:row>
      <xdr:rowOff>66675</xdr:rowOff>
    </xdr:to>
    <xdr:sp macro="" textlink="">
      <xdr:nvSpPr>
        <xdr:cNvPr id="15" name="Up Arrow 14">
          <a:hlinkClick xmlns:r="http://schemas.openxmlformats.org/officeDocument/2006/relationships" r:id="rId8" tooltip="Back to top"/>
        </xdr:cNvPr>
        <xdr:cNvSpPr/>
      </xdr:nvSpPr>
      <xdr:spPr>
        <a:xfrm>
          <a:off x="7258050" y="400050"/>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114300</xdr:colOff>
      <xdr:row>1</xdr:row>
      <xdr:rowOff>123825</xdr:rowOff>
    </xdr:from>
    <xdr:to>
      <xdr:col>2</xdr:col>
      <xdr:colOff>995850</xdr:colOff>
      <xdr:row>3</xdr:row>
      <xdr:rowOff>66825</xdr:rowOff>
    </xdr:to>
    <xdr:sp macro="" textlink="">
      <xdr:nvSpPr>
        <xdr:cNvPr id="5" name="Rectangle à coins arrondis 4">
          <a:hlinkClick xmlns:r="http://schemas.openxmlformats.org/officeDocument/2006/relationships" r:id="rId1" tooltip="Back to Local Environment"/>
        </xdr:cNvPr>
        <xdr:cNvSpPr>
          <a:spLocks noChangeArrowheads="1"/>
        </xdr:cNvSpPr>
      </xdr:nvSpPr>
      <xdr:spPr bwMode="auto">
        <a:xfrm>
          <a:off x="342900" y="438150"/>
          <a:ext cx="2196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600074</xdr:colOff>
      <xdr:row>1</xdr:row>
      <xdr:rowOff>133350</xdr:rowOff>
    </xdr:from>
    <xdr:to>
      <xdr:col>5</xdr:col>
      <xdr:colOff>54974</xdr:colOff>
      <xdr:row>3</xdr:row>
      <xdr:rowOff>76350</xdr:rowOff>
    </xdr:to>
    <xdr:sp macro="" textlink="">
      <xdr:nvSpPr>
        <xdr:cNvPr id="6" name="Rectangle à coins arrondis 2">
          <a:hlinkClick xmlns:r="http://schemas.openxmlformats.org/officeDocument/2006/relationships" r:id="rId2" tooltip="Scorecard"/>
        </xdr:cNvPr>
        <xdr:cNvSpPr>
          <a:spLocks noChangeArrowheads="1"/>
        </xdr:cNvSpPr>
      </xdr:nvSpPr>
      <xdr:spPr bwMode="auto">
        <a:xfrm>
          <a:off x="3676649" y="44767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47625</xdr:colOff>
      <xdr:row>14</xdr:row>
      <xdr:rowOff>57150</xdr:rowOff>
    </xdr:from>
    <xdr:ext cx="396000" cy="396000"/>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225" y="3238500"/>
          <a:ext cx="396000" cy="396000"/>
        </a:xfrm>
        <a:prstGeom prst="rect">
          <a:avLst/>
        </a:prstGeom>
      </xdr:spPr>
    </xdr:pic>
    <xdr:clientData/>
  </xdr:oneCellAnchor>
  <xdr:oneCellAnchor>
    <xdr:from>
      <xdr:col>1</xdr:col>
      <xdr:colOff>47625</xdr:colOff>
      <xdr:row>18</xdr:row>
      <xdr:rowOff>9525</xdr:rowOff>
    </xdr:from>
    <xdr:ext cx="432000" cy="432000"/>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3914775"/>
          <a:ext cx="432000" cy="432000"/>
        </a:xfrm>
        <a:prstGeom prst="rect">
          <a:avLst/>
        </a:prstGeom>
      </xdr:spPr>
    </xdr:pic>
    <xdr:clientData/>
  </xdr:oneCellAnchor>
  <xdr:oneCellAnchor>
    <xdr:from>
      <xdr:col>1</xdr:col>
      <xdr:colOff>47625</xdr:colOff>
      <xdr:row>23</xdr:row>
      <xdr:rowOff>76200</xdr:rowOff>
    </xdr:from>
    <xdr:ext cx="432000" cy="432000"/>
    <xdr:pic>
      <xdr:nvPicPr>
        <xdr:cNvPr id="8" name="Picture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76225" y="4886325"/>
          <a:ext cx="432000" cy="432000"/>
        </a:xfrm>
        <a:prstGeom prst="rect">
          <a:avLst/>
        </a:prstGeom>
      </xdr:spPr>
    </xdr:pic>
    <xdr:clientData/>
  </xdr:oneCellAnchor>
  <xdr:oneCellAnchor>
    <xdr:from>
      <xdr:col>1</xdr:col>
      <xdr:colOff>47625</xdr:colOff>
      <xdr:row>29</xdr:row>
      <xdr:rowOff>114300</xdr:rowOff>
    </xdr:from>
    <xdr:ext cx="360000" cy="360000"/>
    <xdr:pic>
      <xdr:nvPicPr>
        <xdr:cNvPr id="9" name="Picture 8"/>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6225" y="6143625"/>
          <a:ext cx="360000" cy="360000"/>
        </a:xfrm>
        <a:prstGeom prst="rect">
          <a:avLst/>
        </a:prstGeom>
      </xdr:spPr>
    </xdr:pic>
    <xdr:clientData/>
  </xdr:oneCellAnchor>
  <xdr:twoCellAnchor editAs="oneCell">
    <xdr:from>
      <xdr:col>1</xdr:col>
      <xdr:colOff>38100</xdr:colOff>
      <xdr:row>31</xdr:row>
      <xdr:rowOff>123825</xdr:rowOff>
    </xdr:from>
    <xdr:to>
      <xdr:col>1</xdr:col>
      <xdr:colOff>414815</xdr:colOff>
      <xdr:row>33</xdr:row>
      <xdr:rowOff>102825</xdr:rowOff>
    </xdr:to>
    <xdr:pic>
      <xdr:nvPicPr>
        <xdr:cNvPr id="10" name="Picture 9"/>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6700" y="6534150"/>
          <a:ext cx="376715" cy="360000"/>
        </a:xfrm>
        <a:prstGeom prst="rect">
          <a:avLst/>
        </a:prstGeom>
      </xdr:spPr>
    </xdr:pic>
    <xdr:clientData/>
  </xdr:twoCellAnchor>
  <xdr:twoCellAnchor>
    <xdr:from>
      <xdr:col>7</xdr:col>
      <xdr:colOff>228600</xdr:colOff>
      <xdr:row>49</xdr:row>
      <xdr:rowOff>66675</xdr:rowOff>
    </xdr:from>
    <xdr:to>
      <xdr:col>9</xdr:col>
      <xdr:colOff>428625</xdr:colOff>
      <xdr:row>52</xdr:row>
      <xdr:rowOff>57151</xdr:rowOff>
    </xdr:to>
    <xdr:sp macro="" textlink="">
      <xdr:nvSpPr>
        <xdr:cNvPr id="11" name="Rectangle à coins arrondis 2">
          <a:hlinkClick xmlns:r="http://schemas.openxmlformats.org/officeDocument/2006/relationships" r:id="rId7" tooltip="Resources"/>
        </xdr:cNvPr>
        <xdr:cNvSpPr>
          <a:spLocks noChangeArrowheads="1"/>
        </xdr:cNvSpPr>
      </xdr:nvSpPr>
      <xdr:spPr bwMode="auto">
        <a:xfrm>
          <a:off x="8639175" y="10001250"/>
          <a:ext cx="2095500" cy="466726"/>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find example values for SRI</a:t>
          </a:r>
        </a:p>
      </xdr:txBody>
    </xdr:sp>
    <xdr:clientData/>
  </xdr:twoCellAnchor>
  <xdr:twoCellAnchor>
    <xdr:from>
      <xdr:col>6</xdr:col>
      <xdr:colOff>790575</xdr:colOff>
      <xdr:row>1</xdr:row>
      <xdr:rowOff>95250</xdr:rowOff>
    </xdr:from>
    <xdr:to>
      <xdr:col>6</xdr:col>
      <xdr:colOff>1190625</xdr:colOff>
      <xdr:row>3</xdr:row>
      <xdr:rowOff>66675</xdr:rowOff>
    </xdr:to>
    <xdr:sp macro="" textlink="">
      <xdr:nvSpPr>
        <xdr:cNvPr id="12" name="Up Arrow 11">
          <a:hlinkClick xmlns:r="http://schemas.openxmlformats.org/officeDocument/2006/relationships" r:id="rId8" tooltip="Back to top"/>
        </xdr:cNvPr>
        <xdr:cNvSpPr/>
      </xdr:nvSpPr>
      <xdr:spPr>
        <a:xfrm>
          <a:off x="7886700" y="409575"/>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7</xdr:col>
      <xdr:colOff>485775</xdr:colOff>
      <xdr:row>37</xdr:row>
      <xdr:rowOff>19049</xdr:rowOff>
    </xdr:from>
    <xdr:to>
      <xdr:col>10</xdr:col>
      <xdr:colOff>171450</xdr:colOff>
      <xdr:row>39</xdr:row>
      <xdr:rowOff>104775</xdr:rowOff>
    </xdr:to>
    <xdr:sp macro="" textlink="">
      <xdr:nvSpPr>
        <xdr:cNvPr id="7" name="Rectangle à coins arrondis 2">
          <a:hlinkClick xmlns:r="http://schemas.openxmlformats.org/officeDocument/2006/relationships" r:id="rId1" tooltip="Resources"/>
        </xdr:cNvPr>
        <xdr:cNvSpPr>
          <a:spLocks noChangeArrowheads="1"/>
        </xdr:cNvSpPr>
      </xdr:nvSpPr>
      <xdr:spPr bwMode="auto">
        <a:xfrm>
          <a:off x="8172450" y="7753349"/>
          <a:ext cx="2095500" cy="619126"/>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find recommended values for Runoff coefficient</a:t>
          </a:r>
        </a:p>
      </xdr:txBody>
    </xdr:sp>
    <xdr:clientData/>
  </xdr:twoCellAnchor>
  <xdr:twoCellAnchor>
    <xdr:from>
      <xdr:col>1</xdr:col>
      <xdr:colOff>76200</xdr:colOff>
      <xdr:row>1</xdr:row>
      <xdr:rowOff>114300</xdr:rowOff>
    </xdr:from>
    <xdr:to>
      <xdr:col>3</xdr:col>
      <xdr:colOff>35925</xdr:colOff>
      <xdr:row>3</xdr:row>
      <xdr:rowOff>57300</xdr:rowOff>
    </xdr:to>
    <xdr:sp macro="" textlink="">
      <xdr:nvSpPr>
        <xdr:cNvPr id="6" name="Rectangle à coins arrondis 5">
          <a:hlinkClick xmlns:r="http://schemas.openxmlformats.org/officeDocument/2006/relationships" r:id="rId2" tooltip="Back to Local Environment"/>
        </xdr:cNvPr>
        <xdr:cNvSpPr>
          <a:spLocks noChangeArrowheads="1"/>
        </xdr:cNvSpPr>
      </xdr:nvSpPr>
      <xdr:spPr bwMode="auto">
        <a:xfrm>
          <a:off x="304800" y="409575"/>
          <a:ext cx="216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733424</xdr:colOff>
      <xdr:row>1</xdr:row>
      <xdr:rowOff>123825</xdr:rowOff>
    </xdr:from>
    <xdr:to>
      <xdr:col>5</xdr:col>
      <xdr:colOff>131174</xdr:colOff>
      <xdr:row>3</xdr:row>
      <xdr:rowOff>66825</xdr:rowOff>
    </xdr:to>
    <xdr:sp macro="" textlink="">
      <xdr:nvSpPr>
        <xdr:cNvPr id="8" name="Rectangle à coins arrondis 2">
          <a:hlinkClick xmlns:r="http://schemas.openxmlformats.org/officeDocument/2006/relationships" r:id="rId3" tooltip="Scorecard"/>
        </xdr:cNvPr>
        <xdr:cNvSpPr>
          <a:spLocks noChangeArrowheads="1"/>
        </xdr:cNvSpPr>
      </xdr:nvSpPr>
      <xdr:spPr bwMode="auto">
        <a:xfrm>
          <a:off x="3162299" y="4191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28575</xdr:colOff>
      <xdr:row>28</xdr:row>
      <xdr:rowOff>114300</xdr:rowOff>
    </xdr:from>
    <xdr:to>
      <xdr:col>1</xdr:col>
      <xdr:colOff>405290</xdr:colOff>
      <xdr:row>30</xdr:row>
      <xdr:rowOff>93300</xdr:rowOff>
    </xdr:to>
    <xdr:pic>
      <xdr:nvPicPr>
        <xdr:cNvPr id="9" name="Picture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7175" y="6038850"/>
          <a:ext cx="376715" cy="360000"/>
        </a:xfrm>
        <a:prstGeom prst="rect">
          <a:avLst/>
        </a:prstGeom>
      </xdr:spPr>
    </xdr:pic>
    <xdr:clientData/>
  </xdr:twoCellAnchor>
  <xdr:oneCellAnchor>
    <xdr:from>
      <xdr:col>1</xdr:col>
      <xdr:colOff>19050</xdr:colOff>
      <xdr:row>14</xdr:row>
      <xdr:rowOff>95250</xdr:rowOff>
    </xdr:from>
    <xdr:ext cx="396000" cy="396000"/>
    <xdr:pic>
      <xdr:nvPicPr>
        <xdr:cNvPr id="11" name="Picture 1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47650" y="3257550"/>
          <a:ext cx="396000" cy="396000"/>
        </a:xfrm>
        <a:prstGeom prst="rect">
          <a:avLst/>
        </a:prstGeom>
      </xdr:spPr>
    </xdr:pic>
    <xdr:clientData/>
  </xdr:oneCellAnchor>
  <xdr:twoCellAnchor editAs="oneCell">
    <xdr:from>
      <xdr:col>1</xdr:col>
      <xdr:colOff>38100</xdr:colOff>
      <xdr:row>19</xdr:row>
      <xdr:rowOff>19050</xdr:rowOff>
    </xdr:from>
    <xdr:to>
      <xdr:col>1</xdr:col>
      <xdr:colOff>578100</xdr:colOff>
      <xdr:row>21</xdr:row>
      <xdr:rowOff>178050</xdr:rowOff>
    </xdr:to>
    <xdr:pic>
      <xdr:nvPicPr>
        <xdr:cNvPr id="2" name="Picture 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6700" y="4095750"/>
          <a:ext cx="540000" cy="540000"/>
        </a:xfrm>
        <a:prstGeom prst="rect">
          <a:avLst/>
        </a:prstGeom>
      </xdr:spPr>
    </xdr:pic>
    <xdr:clientData/>
  </xdr:twoCellAnchor>
  <xdr:oneCellAnchor>
    <xdr:from>
      <xdr:col>1</xdr:col>
      <xdr:colOff>28575</xdr:colOff>
      <xdr:row>26</xdr:row>
      <xdr:rowOff>114300</xdr:rowOff>
    </xdr:from>
    <xdr:ext cx="360000" cy="360000"/>
    <xdr:pic>
      <xdr:nvPicPr>
        <xdr:cNvPr id="12" name="Picture 1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57175" y="5657850"/>
          <a:ext cx="360000" cy="360000"/>
        </a:xfrm>
        <a:prstGeom prst="rect">
          <a:avLst/>
        </a:prstGeom>
      </xdr:spPr>
    </xdr:pic>
    <xdr:clientData/>
  </xdr:oneCellAnchor>
  <xdr:twoCellAnchor>
    <xdr:from>
      <xdr:col>6</xdr:col>
      <xdr:colOff>790575</xdr:colOff>
      <xdr:row>1</xdr:row>
      <xdr:rowOff>95250</xdr:rowOff>
    </xdr:from>
    <xdr:to>
      <xdr:col>6</xdr:col>
      <xdr:colOff>1190625</xdr:colOff>
      <xdr:row>3</xdr:row>
      <xdr:rowOff>66675</xdr:rowOff>
    </xdr:to>
    <xdr:sp macro="" textlink="">
      <xdr:nvSpPr>
        <xdr:cNvPr id="10" name="Up Arrow 9">
          <a:hlinkClick xmlns:r="http://schemas.openxmlformats.org/officeDocument/2006/relationships" r:id="rId8" tooltip="Back to top"/>
        </xdr:cNvPr>
        <xdr:cNvSpPr/>
      </xdr:nvSpPr>
      <xdr:spPr>
        <a:xfrm>
          <a:off x="7229475" y="390525"/>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1</xdr:row>
      <xdr:rowOff>114300</xdr:rowOff>
    </xdr:from>
    <xdr:to>
      <xdr:col>2</xdr:col>
      <xdr:colOff>1111275</xdr:colOff>
      <xdr:row>3</xdr:row>
      <xdr:rowOff>57300</xdr:rowOff>
    </xdr:to>
    <xdr:sp macro="" textlink="">
      <xdr:nvSpPr>
        <xdr:cNvPr id="4" name="Rectangle à coins arrondis 3">
          <a:hlinkClick xmlns:r="http://schemas.openxmlformats.org/officeDocument/2006/relationships" r:id="rId1" tooltip="Back to Local Environment"/>
        </xdr:cNvPr>
        <xdr:cNvSpPr>
          <a:spLocks noChangeArrowheads="1"/>
        </xdr:cNvSpPr>
      </xdr:nvSpPr>
      <xdr:spPr bwMode="auto">
        <a:xfrm>
          <a:off x="228600" y="409575"/>
          <a:ext cx="209235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561973</xdr:colOff>
      <xdr:row>1</xdr:row>
      <xdr:rowOff>123825</xdr:rowOff>
    </xdr:from>
    <xdr:to>
      <xdr:col>5</xdr:col>
      <xdr:colOff>264523</xdr:colOff>
      <xdr:row>3</xdr:row>
      <xdr:rowOff>66825</xdr:rowOff>
    </xdr:to>
    <xdr:sp macro="" textlink="">
      <xdr:nvSpPr>
        <xdr:cNvPr id="5" name="Rectangle à coins arrondis 2">
          <a:hlinkClick xmlns:r="http://schemas.openxmlformats.org/officeDocument/2006/relationships" r:id="rId2" tooltip="Scorecard"/>
        </xdr:cNvPr>
        <xdr:cNvSpPr>
          <a:spLocks noChangeArrowheads="1"/>
        </xdr:cNvSpPr>
      </xdr:nvSpPr>
      <xdr:spPr bwMode="auto">
        <a:xfrm>
          <a:off x="3333748" y="42862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28575</xdr:colOff>
      <xdr:row>20</xdr:row>
      <xdr:rowOff>114300</xdr:rowOff>
    </xdr:from>
    <xdr:ext cx="360000" cy="360000"/>
    <xdr:pic>
      <xdr:nvPicPr>
        <xdr:cNvPr id="6"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09575" y="4543425"/>
          <a:ext cx="360000" cy="360000"/>
        </a:xfrm>
        <a:prstGeom prst="rect">
          <a:avLst/>
        </a:prstGeom>
      </xdr:spPr>
    </xdr:pic>
    <xdr:clientData/>
  </xdr:oneCellAnchor>
  <xdr:oneCellAnchor>
    <xdr:from>
      <xdr:col>1</xdr:col>
      <xdr:colOff>28575</xdr:colOff>
      <xdr:row>27</xdr:row>
      <xdr:rowOff>142875</xdr:rowOff>
    </xdr:from>
    <xdr:ext cx="360000" cy="360000"/>
    <xdr:pic>
      <xdr:nvPicPr>
        <xdr:cNvPr id="7" name="Picture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2900" y="6019800"/>
          <a:ext cx="360000" cy="360000"/>
        </a:xfrm>
        <a:prstGeom prst="rect">
          <a:avLst/>
        </a:prstGeom>
      </xdr:spPr>
    </xdr:pic>
    <xdr:clientData/>
  </xdr:oneCellAnchor>
  <xdr:oneCellAnchor>
    <xdr:from>
      <xdr:col>1</xdr:col>
      <xdr:colOff>0</xdr:colOff>
      <xdr:row>14</xdr:row>
      <xdr:rowOff>95250</xdr:rowOff>
    </xdr:from>
    <xdr:ext cx="396000" cy="396000"/>
    <xdr:pic>
      <xdr:nvPicPr>
        <xdr:cNvPr id="8" name="Picture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3438525"/>
          <a:ext cx="396000" cy="396000"/>
        </a:xfrm>
        <a:prstGeom prst="rect">
          <a:avLst/>
        </a:prstGeom>
      </xdr:spPr>
    </xdr:pic>
    <xdr:clientData/>
  </xdr:oneCellAnchor>
  <xdr:oneCellAnchor>
    <xdr:from>
      <xdr:col>1</xdr:col>
      <xdr:colOff>95250</xdr:colOff>
      <xdr:row>17</xdr:row>
      <xdr:rowOff>85725</xdr:rowOff>
    </xdr:from>
    <xdr:ext cx="396000" cy="396000"/>
    <xdr:pic>
      <xdr:nvPicPr>
        <xdr:cNvPr id="9" name="Picture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5" y="4000500"/>
          <a:ext cx="396000" cy="396000"/>
        </a:xfrm>
        <a:prstGeom prst="rect">
          <a:avLst/>
        </a:prstGeom>
      </xdr:spPr>
    </xdr:pic>
    <xdr:clientData/>
  </xdr:oneCellAnchor>
  <xdr:oneCellAnchor>
    <xdr:from>
      <xdr:col>1</xdr:col>
      <xdr:colOff>19050</xdr:colOff>
      <xdr:row>25</xdr:row>
      <xdr:rowOff>133350</xdr:rowOff>
    </xdr:from>
    <xdr:ext cx="396000" cy="396000"/>
    <xdr:pic>
      <xdr:nvPicPr>
        <xdr:cNvPr id="12" name="Picture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375" y="5572125"/>
          <a:ext cx="396000" cy="396000"/>
        </a:xfrm>
        <a:prstGeom prst="rect">
          <a:avLst/>
        </a:prstGeom>
      </xdr:spPr>
    </xdr:pic>
    <xdr:clientData/>
  </xdr:oneCellAnchor>
  <xdr:twoCellAnchor>
    <xdr:from>
      <xdr:col>6</xdr:col>
      <xdr:colOff>790575</xdr:colOff>
      <xdr:row>1</xdr:row>
      <xdr:rowOff>95250</xdr:rowOff>
    </xdr:from>
    <xdr:to>
      <xdr:col>6</xdr:col>
      <xdr:colOff>1190625</xdr:colOff>
      <xdr:row>3</xdr:row>
      <xdr:rowOff>66675</xdr:rowOff>
    </xdr:to>
    <xdr:sp macro="" textlink="">
      <xdr:nvSpPr>
        <xdr:cNvPr id="13" name="Up Arrow 12">
          <a:hlinkClick xmlns:r="http://schemas.openxmlformats.org/officeDocument/2006/relationships" r:id="rId5" tooltip="Back to top"/>
        </xdr:cNvPr>
        <xdr:cNvSpPr/>
      </xdr:nvSpPr>
      <xdr:spPr>
        <a:xfrm>
          <a:off x="7248525" y="400050"/>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1</xdr:row>
      <xdr:rowOff>114300</xdr:rowOff>
    </xdr:from>
    <xdr:to>
      <xdr:col>2</xdr:col>
      <xdr:colOff>1111275</xdr:colOff>
      <xdr:row>3</xdr:row>
      <xdr:rowOff>57300</xdr:rowOff>
    </xdr:to>
    <xdr:sp macro="" textlink="">
      <xdr:nvSpPr>
        <xdr:cNvPr id="4" name="Rectangle à coins arrondis 3">
          <a:hlinkClick xmlns:r="http://schemas.openxmlformats.org/officeDocument/2006/relationships" r:id="rId1" tooltip="Back to Local Environment"/>
        </xdr:cNvPr>
        <xdr:cNvSpPr>
          <a:spLocks noChangeArrowheads="1"/>
        </xdr:cNvSpPr>
      </xdr:nvSpPr>
      <xdr:spPr bwMode="auto">
        <a:xfrm>
          <a:off x="381000" y="419100"/>
          <a:ext cx="234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523873</xdr:colOff>
      <xdr:row>1</xdr:row>
      <xdr:rowOff>123825</xdr:rowOff>
    </xdr:from>
    <xdr:to>
      <xdr:col>5</xdr:col>
      <xdr:colOff>226423</xdr:colOff>
      <xdr:row>3</xdr:row>
      <xdr:rowOff>66825</xdr:rowOff>
    </xdr:to>
    <xdr:sp macro="" textlink="">
      <xdr:nvSpPr>
        <xdr:cNvPr id="5" name="Rectangle à coins arrondis 2">
          <a:hlinkClick xmlns:r="http://schemas.openxmlformats.org/officeDocument/2006/relationships" r:id="rId2" tooltip="Scorecard"/>
        </xdr:cNvPr>
        <xdr:cNvSpPr>
          <a:spLocks noChangeArrowheads="1"/>
        </xdr:cNvSpPr>
      </xdr:nvSpPr>
      <xdr:spPr bwMode="auto">
        <a:xfrm>
          <a:off x="3295648" y="428625"/>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0</xdr:colOff>
      <xdr:row>14</xdr:row>
      <xdr:rowOff>104775</xdr:rowOff>
    </xdr:from>
    <xdr:ext cx="396000" cy="396000"/>
    <xdr:pic>
      <xdr:nvPicPr>
        <xdr:cNvPr id="10" name="Picture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0525" y="3400425"/>
          <a:ext cx="396000" cy="396000"/>
        </a:xfrm>
        <a:prstGeom prst="rect">
          <a:avLst/>
        </a:prstGeom>
      </xdr:spPr>
    </xdr:pic>
    <xdr:clientData/>
  </xdr:oneCellAnchor>
  <xdr:oneCellAnchor>
    <xdr:from>
      <xdr:col>1</xdr:col>
      <xdr:colOff>28575</xdr:colOff>
      <xdr:row>18</xdr:row>
      <xdr:rowOff>142875</xdr:rowOff>
    </xdr:from>
    <xdr:ext cx="360000" cy="360000"/>
    <xdr:pic>
      <xdr:nvPicPr>
        <xdr:cNvPr id="11" name="Picture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4257675"/>
          <a:ext cx="360000" cy="360000"/>
        </a:xfrm>
        <a:prstGeom prst="rect">
          <a:avLst/>
        </a:prstGeom>
      </xdr:spPr>
    </xdr:pic>
    <xdr:clientData/>
  </xdr:oneCellAnchor>
  <xdr:twoCellAnchor editAs="oneCell">
    <xdr:from>
      <xdr:col>1</xdr:col>
      <xdr:colOff>19051</xdr:colOff>
      <xdr:row>16</xdr:row>
      <xdr:rowOff>171450</xdr:rowOff>
    </xdr:from>
    <xdr:to>
      <xdr:col>1</xdr:col>
      <xdr:colOff>395766</xdr:colOff>
      <xdr:row>18</xdr:row>
      <xdr:rowOff>83775</xdr:rowOff>
    </xdr:to>
    <xdr:pic>
      <xdr:nvPicPr>
        <xdr:cNvPr id="3" name="Picture 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09576" y="3838575"/>
          <a:ext cx="376715" cy="360000"/>
        </a:xfrm>
        <a:prstGeom prst="rect">
          <a:avLst/>
        </a:prstGeom>
      </xdr:spPr>
    </xdr:pic>
    <xdr:clientData/>
  </xdr:twoCellAnchor>
  <xdr:twoCellAnchor>
    <xdr:from>
      <xdr:col>6</xdr:col>
      <xdr:colOff>742950</xdr:colOff>
      <xdr:row>1</xdr:row>
      <xdr:rowOff>95250</xdr:rowOff>
    </xdr:from>
    <xdr:to>
      <xdr:col>6</xdr:col>
      <xdr:colOff>1143000</xdr:colOff>
      <xdr:row>3</xdr:row>
      <xdr:rowOff>66675</xdr:rowOff>
    </xdr:to>
    <xdr:sp macro="" textlink="">
      <xdr:nvSpPr>
        <xdr:cNvPr id="13" name="Up Arrow 12">
          <a:hlinkClick xmlns:r="http://schemas.openxmlformats.org/officeDocument/2006/relationships" r:id="rId6" tooltip="Back to top"/>
        </xdr:cNvPr>
        <xdr:cNvSpPr/>
      </xdr:nvSpPr>
      <xdr:spPr>
        <a:xfrm>
          <a:off x="7219950" y="400050"/>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0</xdr:colOff>
      <xdr:row>1</xdr:row>
      <xdr:rowOff>114300</xdr:rowOff>
    </xdr:from>
    <xdr:to>
      <xdr:col>2</xdr:col>
      <xdr:colOff>1111275</xdr:colOff>
      <xdr:row>3</xdr:row>
      <xdr:rowOff>57300</xdr:rowOff>
    </xdr:to>
    <xdr:sp macro="" textlink="">
      <xdr:nvSpPr>
        <xdr:cNvPr id="4" name="Rectangle à coins arrondis 3">
          <a:hlinkClick xmlns:r="http://schemas.openxmlformats.org/officeDocument/2006/relationships" r:id="rId1" tooltip="Back to Local Environment"/>
        </xdr:cNvPr>
        <xdr:cNvSpPr>
          <a:spLocks noChangeArrowheads="1"/>
        </xdr:cNvSpPr>
      </xdr:nvSpPr>
      <xdr:spPr bwMode="auto">
        <a:xfrm>
          <a:off x="390525" y="419100"/>
          <a:ext cx="234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561973</xdr:colOff>
      <xdr:row>1</xdr:row>
      <xdr:rowOff>123825</xdr:rowOff>
    </xdr:from>
    <xdr:to>
      <xdr:col>5</xdr:col>
      <xdr:colOff>264523</xdr:colOff>
      <xdr:row>3</xdr:row>
      <xdr:rowOff>66825</xdr:rowOff>
    </xdr:to>
    <xdr:sp macro="" textlink="">
      <xdr:nvSpPr>
        <xdr:cNvPr id="5" name="Rectangle à coins arrondis 2">
          <a:hlinkClick xmlns:r="http://schemas.openxmlformats.org/officeDocument/2006/relationships" r:id="rId2" tooltip="Scorecard"/>
        </xdr:cNvPr>
        <xdr:cNvSpPr>
          <a:spLocks noChangeArrowheads="1"/>
        </xdr:cNvSpPr>
      </xdr:nvSpPr>
      <xdr:spPr bwMode="auto">
        <a:xfrm>
          <a:off x="3333748" y="419100"/>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0</xdr:colOff>
      <xdr:row>14</xdr:row>
      <xdr:rowOff>95250</xdr:rowOff>
    </xdr:from>
    <xdr:ext cx="396000" cy="396000"/>
    <xdr:pic>
      <xdr:nvPicPr>
        <xdr:cNvPr id="10" name="Picture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3200400"/>
          <a:ext cx="396000" cy="396000"/>
        </a:xfrm>
        <a:prstGeom prst="rect">
          <a:avLst/>
        </a:prstGeom>
      </xdr:spPr>
    </xdr:pic>
    <xdr:clientData/>
  </xdr:oneCellAnchor>
  <xdr:oneCellAnchor>
    <xdr:from>
      <xdr:col>1</xdr:col>
      <xdr:colOff>28575</xdr:colOff>
      <xdr:row>16</xdr:row>
      <xdr:rowOff>152400</xdr:rowOff>
    </xdr:from>
    <xdr:ext cx="360000" cy="360000"/>
    <xdr:pic>
      <xdr:nvPicPr>
        <xdr:cNvPr id="11" name="Picture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100" y="4267200"/>
          <a:ext cx="360000" cy="360000"/>
        </a:xfrm>
        <a:prstGeom prst="rect">
          <a:avLst/>
        </a:prstGeom>
      </xdr:spPr>
    </xdr:pic>
    <xdr:clientData/>
  </xdr:oneCellAnchor>
  <xdr:twoCellAnchor>
    <xdr:from>
      <xdr:col>6</xdr:col>
      <xdr:colOff>733425</xdr:colOff>
      <xdr:row>1</xdr:row>
      <xdr:rowOff>95250</xdr:rowOff>
    </xdr:from>
    <xdr:to>
      <xdr:col>6</xdr:col>
      <xdr:colOff>1133475</xdr:colOff>
      <xdr:row>3</xdr:row>
      <xdr:rowOff>66675</xdr:rowOff>
    </xdr:to>
    <xdr:sp macro="" textlink="">
      <xdr:nvSpPr>
        <xdr:cNvPr id="12" name="Up Arrow 11">
          <a:hlinkClick xmlns:r="http://schemas.openxmlformats.org/officeDocument/2006/relationships" r:id="rId5" tooltip="Back to top"/>
        </xdr:cNvPr>
        <xdr:cNvSpPr/>
      </xdr:nvSpPr>
      <xdr:spPr>
        <a:xfrm>
          <a:off x="7210425" y="390525"/>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11</xdr:col>
      <xdr:colOff>19050</xdr:colOff>
      <xdr:row>14</xdr:row>
      <xdr:rowOff>23812</xdr:rowOff>
    </xdr:from>
    <xdr:ext cx="65" cy="172227"/>
    <xdr:sp macro="" textlink="">
      <xdr:nvSpPr>
        <xdr:cNvPr id="2" name="TextBox 1"/>
        <xdr:cNvSpPr txBox="1"/>
      </xdr:nvSpPr>
      <xdr:spPr>
        <a:xfrm>
          <a:off x="8105775" y="288131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twoCellAnchor>
    <xdr:from>
      <xdr:col>14</xdr:col>
      <xdr:colOff>57525</xdr:colOff>
      <xdr:row>1</xdr:row>
      <xdr:rowOff>38099</xdr:rowOff>
    </xdr:from>
    <xdr:to>
      <xdr:col>16</xdr:col>
      <xdr:colOff>68775</xdr:colOff>
      <xdr:row>2</xdr:row>
      <xdr:rowOff>123974</xdr:rowOff>
    </xdr:to>
    <xdr:sp macro="" textlink="">
      <xdr:nvSpPr>
        <xdr:cNvPr id="11" name="Rectangle à coins arrondis 2">
          <a:hlinkClick xmlns:r="http://schemas.openxmlformats.org/officeDocument/2006/relationships" r:id="rId1" tooltip="Scorecard"/>
        </xdr:cNvPr>
        <xdr:cNvSpPr>
          <a:spLocks noChangeArrowheads="1"/>
        </xdr:cNvSpPr>
      </xdr:nvSpPr>
      <xdr:spPr bwMode="auto">
        <a:xfrm>
          <a:off x="9830175" y="419099"/>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9</xdr:col>
      <xdr:colOff>590549</xdr:colOff>
      <xdr:row>2</xdr:row>
      <xdr:rowOff>200024</xdr:rowOff>
    </xdr:from>
    <xdr:to>
      <xdr:col>11</xdr:col>
      <xdr:colOff>601799</xdr:colOff>
      <xdr:row>4</xdr:row>
      <xdr:rowOff>47774</xdr:rowOff>
    </xdr:to>
    <xdr:sp macro="" textlink="">
      <xdr:nvSpPr>
        <xdr:cNvPr id="12" name="Rectangle à coins arrondis 2">
          <a:hlinkClick xmlns:r="http://schemas.openxmlformats.org/officeDocument/2006/relationships" r:id="rId2" tooltip="Project Information"/>
        </xdr:cNvPr>
        <xdr:cNvSpPr>
          <a:spLocks noChangeArrowheads="1"/>
        </xdr:cNvSpPr>
      </xdr:nvSpPr>
      <xdr:spPr bwMode="auto">
        <a:xfrm>
          <a:off x="6867524" y="819149"/>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Project Information</a:t>
          </a:r>
        </a:p>
      </xdr:txBody>
    </xdr:sp>
    <xdr:clientData/>
  </xdr:twoCellAnchor>
  <xdr:twoCellAnchor>
    <xdr:from>
      <xdr:col>11</xdr:col>
      <xdr:colOff>676649</xdr:colOff>
      <xdr:row>2</xdr:row>
      <xdr:rowOff>200024</xdr:rowOff>
    </xdr:from>
    <xdr:to>
      <xdr:col>13</xdr:col>
      <xdr:colOff>687899</xdr:colOff>
      <xdr:row>4</xdr:row>
      <xdr:rowOff>47774</xdr:rowOff>
    </xdr:to>
    <xdr:sp macro="" textlink="">
      <xdr:nvSpPr>
        <xdr:cNvPr id="13" name="Rectangle à coins arrondis 2">
          <a:hlinkClick xmlns:r="http://schemas.openxmlformats.org/officeDocument/2006/relationships" r:id="rId3" tooltip="Graphical Results"/>
        </xdr:cNvPr>
        <xdr:cNvSpPr>
          <a:spLocks noChangeArrowheads="1"/>
        </xdr:cNvSpPr>
      </xdr:nvSpPr>
      <xdr:spPr bwMode="auto">
        <a:xfrm>
          <a:off x="8382374" y="819149"/>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Graphical Results </a:t>
          </a:r>
        </a:p>
      </xdr:txBody>
    </xdr:sp>
    <xdr:clientData/>
  </xdr:twoCellAnchor>
  <xdr:twoCellAnchor>
    <xdr:from>
      <xdr:col>9</xdr:col>
      <xdr:colOff>590549</xdr:colOff>
      <xdr:row>1</xdr:row>
      <xdr:rowOff>38100</xdr:rowOff>
    </xdr:from>
    <xdr:to>
      <xdr:col>11</xdr:col>
      <xdr:colOff>601799</xdr:colOff>
      <xdr:row>2</xdr:row>
      <xdr:rowOff>123975</xdr:rowOff>
    </xdr:to>
    <xdr:sp macro="" textlink="">
      <xdr:nvSpPr>
        <xdr:cNvPr id="14" name="Rectangle à coins arrondis 2">
          <a:hlinkClick xmlns:r="http://schemas.openxmlformats.org/officeDocument/2006/relationships" r:id="rId4" tooltip="Introduction"/>
        </xdr:cNvPr>
        <xdr:cNvSpPr>
          <a:spLocks noChangeArrowheads="1"/>
        </xdr:cNvSpPr>
      </xdr:nvSpPr>
      <xdr:spPr bwMode="auto">
        <a:xfrm>
          <a:off x="6791324" y="419100"/>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twoCellAnchor>
    <xdr:from>
      <xdr:col>11</xdr:col>
      <xdr:colOff>676275</xdr:colOff>
      <xdr:row>1</xdr:row>
      <xdr:rowOff>38100</xdr:rowOff>
    </xdr:from>
    <xdr:to>
      <xdr:col>13</xdr:col>
      <xdr:colOff>687525</xdr:colOff>
      <xdr:row>2</xdr:row>
      <xdr:rowOff>123975</xdr:rowOff>
    </xdr:to>
    <xdr:sp macro="" textlink="">
      <xdr:nvSpPr>
        <xdr:cNvPr id="15" name="Rectangle à coins arrondis 2">
          <a:hlinkClick xmlns:r="http://schemas.openxmlformats.org/officeDocument/2006/relationships" r:id="rId5" tooltip="Instructions"/>
        </xdr:cNvPr>
        <xdr:cNvSpPr>
          <a:spLocks noChangeArrowheads="1"/>
        </xdr:cNvSpPr>
      </xdr:nvSpPr>
      <xdr:spPr bwMode="auto">
        <a:xfrm>
          <a:off x="8305800" y="419100"/>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baseline="0">
              <a:solidFill>
                <a:srgbClr val="943634"/>
              </a:solidFill>
              <a:effectLst/>
              <a:latin typeface="Arial" panose="020B0604020202020204" pitchFamily="34" charset="0"/>
              <a:ea typeface="+mn-ea"/>
              <a:cs typeface="Arial" panose="020B0604020202020204" pitchFamily="34" charset="0"/>
            </a:rPr>
            <a:t>Instructions</a:t>
          </a:r>
          <a:endParaRPr lang="fr-FR" sz="1200" b="0" i="0" u="none" strike="noStrike" baseline="0">
            <a:solidFill>
              <a:srgbClr val="943634"/>
            </a:solidFill>
            <a:latin typeface="Arial" panose="020B0604020202020204" pitchFamily="34" charset="0"/>
            <a:cs typeface="Arial" panose="020B0604020202020204" pitchFamily="34" charset="0"/>
          </a:endParaRPr>
        </a:p>
      </xdr:txBody>
    </xdr:sp>
    <xdr:clientData/>
  </xdr:twoCellAnchor>
  <xdr:twoCellAnchor>
    <xdr:from>
      <xdr:col>14</xdr:col>
      <xdr:colOff>66675</xdr:colOff>
      <xdr:row>2</xdr:row>
      <xdr:rowOff>200025</xdr:rowOff>
    </xdr:from>
    <xdr:to>
      <xdr:col>16</xdr:col>
      <xdr:colOff>77925</xdr:colOff>
      <xdr:row>4</xdr:row>
      <xdr:rowOff>47775</xdr:rowOff>
    </xdr:to>
    <xdr:sp macro="" textlink="">
      <xdr:nvSpPr>
        <xdr:cNvPr id="16" name="Rectangle à coins arrondis 2">
          <a:hlinkClick xmlns:r="http://schemas.openxmlformats.org/officeDocument/2006/relationships" r:id="rId6" tooltip="Glossary"/>
        </xdr:cNvPr>
        <xdr:cNvSpPr>
          <a:spLocks noChangeArrowheads="1"/>
        </xdr:cNvSpPr>
      </xdr:nvSpPr>
      <xdr:spPr bwMode="auto">
        <a:xfrm>
          <a:off x="9915525" y="819150"/>
          <a:ext cx="1440000" cy="324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Glossary</a:t>
          </a:r>
        </a:p>
      </xdr:txBody>
    </xdr:sp>
    <xdr:clientData/>
  </xdr:twoCellAnchor>
  <xdr:twoCellAnchor editAs="oneCell">
    <xdr:from>
      <xdr:col>1</xdr:col>
      <xdr:colOff>123825</xdr:colOff>
      <xdr:row>42</xdr:row>
      <xdr:rowOff>209550</xdr:rowOff>
    </xdr:from>
    <xdr:to>
      <xdr:col>1</xdr:col>
      <xdr:colOff>663825</xdr:colOff>
      <xdr:row>45</xdr:row>
      <xdr:rowOff>35175</xdr:rowOff>
    </xdr:to>
    <xdr:pic>
      <xdr:nvPicPr>
        <xdr:cNvPr id="4" name="Picture 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8625" y="8991600"/>
          <a:ext cx="540000" cy="540000"/>
        </a:xfrm>
        <a:prstGeom prst="rect">
          <a:avLst/>
        </a:prstGeom>
      </xdr:spPr>
    </xdr:pic>
    <xdr:clientData/>
  </xdr:twoCellAnchor>
  <xdr:twoCellAnchor editAs="oneCell">
    <xdr:from>
      <xdr:col>1</xdr:col>
      <xdr:colOff>104775</xdr:colOff>
      <xdr:row>25</xdr:row>
      <xdr:rowOff>57150</xdr:rowOff>
    </xdr:from>
    <xdr:to>
      <xdr:col>1</xdr:col>
      <xdr:colOff>644775</xdr:colOff>
      <xdr:row>27</xdr:row>
      <xdr:rowOff>159000</xdr:rowOff>
    </xdr:to>
    <xdr:pic>
      <xdr:nvPicPr>
        <xdr:cNvPr id="17" name="Picture 1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9575" y="5286375"/>
          <a:ext cx="540000" cy="5400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0</xdr:colOff>
      <xdr:row>1</xdr:row>
      <xdr:rowOff>114300</xdr:rowOff>
    </xdr:from>
    <xdr:to>
      <xdr:col>2</xdr:col>
      <xdr:colOff>1111275</xdr:colOff>
      <xdr:row>3</xdr:row>
      <xdr:rowOff>57300</xdr:rowOff>
    </xdr:to>
    <xdr:sp macro="" textlink="">
      <xdr:nvSpPr>
        <xdr:cNvPr id="2" name="Rectangle à coins arrondis 3">
          <a:hlinkClick xmlns:r="http://schemas.openxmlformats.org/officeDocument/2006/relationships" r:id="rId1" tooltip="Back to Local Environment"/>
        </xdr:cNvPr>
        <xdr:cNvSpPr>
          <a:spLocks noChangeArrowheads="1"/>
        </xdr:cNvSpPr>
      </xdr:nvSpPr>
      <xdr:spPr bwMode="auto">
        <a:xfrm>
          <a:off x="381000" y="409575"/>
          <a:ext cx="234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chemeClr val="bg1"/>
              </a:solidFill>
              <a:latin typeface="Arial" panose="020B0604020202020204" pitchFamily="34" charset="0"/>
              <a:cs typeface="Arial" panose="020B0604020202020204" pitchFamily="34" charset="0"/>
            </a:rPr>
            <a:t>Back to Local Environment</a:t>
          </a:r>
        </a:p>
      </xdr:txBody>
    </xdr:sp>
    <xdr:clientData/>
  </xdr:twoCellAnchor>
  <xdr:twoCellAnchor>
    <xdr:from>
      <xdr:col>3</xdr:col>
      <xdr:colOff>561974</xdr:colOff>
      <xdr:row>1</xdr:row>
      <xdr:rowOff>123825</xdr:rowOff>
    </xdr:from>
    <xdr:to>
      <xdr:col>5</xdr:col>
      <xdr:colOff>26399</xdr:colOff>
      <xdr:row>3</xdr:row>
      <xdr:rowOff>66825</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400424" y="419100"/>
          <a:ext cx="192187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0</xdr:colOff>
      <xdr:row>14</xdr:row>
      <xdr:rowOff>85725</xdr:rowOff>
    </xdr:from>
    <xdr:ext cx="396000" cy="396000"/>
    <xdr:pic>
      <xdr:nvPicPr>
        <xdr:cNvPr id="10" name="Picture 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1000" y="3105150"/>
          <a:ext cx="396000" cy="396000"/>
        </a:xfrm>
        <a:prstGeom prst="rect">
          <a:avLst/>
        </a:prstGeom>
      </xdr:spPr>
    </xdr:pic>
    <xdr:clientData/>
  </xdr:oneCellAnchor>
  <xdr:oneCellAnchor>
    <xdr:from>
      <xdr:col>1</xdr:col>
      <xdr:colOff>28575</xdr:colOff>
      <xdr:row>25</xdr:row>
      <xdr:rowOff>123825</xdr:rowOff>
    </xdr:from>
    <xdr:ext cx="360000" cy="360000"/>
    <xdr:pic>
      <xdr:nvPicPr>
        <xdr:cNvPr id="11" name="Picture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5" y="5495925"/>
          <a:ext cx="360000" cy="360000"/>
        </a:xfrm>
        <a:prstGeom prst="rect">
          <a:avLst/>
        </a:prstGeom>
      </xdr:spPr>
    </xdr:pic>
    <xdr:clientData/>
  </xdr:oneCellAnchor>
  <xdr:twoCellAnchor>
    <xdr:from>
      <xdr:col>6</xdr:col>
      <xdr:colOff>790575</xdr:colOff>
      <xdr:row>1</xdr:row>
      <xdr:rowOff>95250</xdr:rowOff>
    </xdr:from>
    <xdr:to>
      <xdr:col>6</xdr:col>
      <xdr:colOff>1190625</xdr:colOff>
      <xdr:row>3</xdr:row>
      <xdr:rowOff>66675</xdr:rowOff>
    </xdr:to>
    <xdr:sp macro="" textlink="">
      <xdr:nvSpPr>
        <xdr:cNvPr id="12" name="Up Arrow 11">
          <a:hlinkClick xmlns:r="http://schemas.openxmlformats.org/officeDocument/2006/relationships" r:id="rId5" tooltip="Back to top"/>
        </xdr:cNvPr>
        <xdr:cNvSpPr/>
      </xdr:nvSpPr>
      <xdr:spPr>
        <a:xfrm>
          <a:off x="7315200" y="390525"/>
          <a:ext cx="400050" cy="352425"/>
        </a:xfrm>
        <a:prstGeom prst="upArrow">
          <a:avLst/>
        </a:prstGeom>
        <a:solidFill>
          <a:srgbClr val="76923C"/>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9</xdr:col>
      <xdr:colOff>84668</xdr:colOff>
      <xdr:row>0</xdr:row>
      <xdr:rowOff>63499</xdr:rowOff>
    </xdr:from>
    <xdr:to>
      <xdr:col>11</xdr:col>
      <xdr:colOff>252401</xdr:colOff>
      <xdr:row>2</xdr:row>
      <xdr:rowOff>251365</xdr:rowOff>
    </xdr:to>
    <xdr:pic>
      <xdr:nvPicPr>
        <xdr:cNvPr id="4" name="Image 7" descr="management.png"/>
        <xdr:cNvPicPr>
          <a:picLocks noChangeAspect="1"/>
        </xdr:cNvPicPr>
      </xdr:nvPicPr>
      <xdr:blipFill>
        <a:blip xmlns:r="http://schemas.openxmlformats.org/officeDocument/2006/relationships" r:embed="rId1" cstate="print"/>
        <a:srcRect/>
        <a:stretch>
          <a:fillRect/>
        </a:stretch>
      </xdr:blipFill>
      <xdr:spPr bwMode="auto">
        <a:xfrm>
          <a:off x="9683751" y="63499"/>
          <a:ext cx="887400" cy="907533"/>
        </a:xfrm>
        <a:prstGeom prst="rect">
          <a:avLst/>
        </a:prstGeom>
        <a:noFill/>
        <a:ln w="9525">
          <a:noFill/>
          <a:miter lim="800000"/>
          <a:headEnd/>
          <a:tailEnd/>
        </a:ln>
      </xdr:spPr>
    </xdr:pic>
    <xdr:clientData/>
  </xdr:twoCellAnchor>
  <xdr:twoCellAnchor>
    <xdr:from>
      <xdr:col>1</xdr:col>
      <xdr:colOff>42333</xdr:colOff>
      <xdr:row>10</xdr:row>
      <xdr:rowOff>74082</xdr:rowOff>
    </xdr:from>
    <xdr:to>
      <xdr:col>1</xdr:col>
      <xdr:colOff>2022333</xdr:colOff>
      <xdr:row>12</xdr:row>
      <xdr:rowOff>89082</xdr:rowOff>
    </xdr:to>
    <xdr:sp macro="" textlink="">
      <xdr:nvSpPr>
        <xdr:cNvPr id="5" name="Rectangle à coins arrondis 2">
          <a:hlinkClick xmlns:r="http://schemas.openxmlformats.org/officeDocument/2006/relationships" r:id="rId2" tooltip="Scorecard"/>
        </xdr:cNvPr>
        <xdr:cNvSpPr>
          <a:spLocks noChangeArrowheads="1"/>
        </xdr:cNvSpPr>
      </xdr:nvSpPr>
      <xdr:spPr bwMode="auto">
        <a:xfrm>
          <a:off x="423333" y="2942165"/>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0</xdr:colOff>
      <xdr:row>1</xdr:row>
      <xdr:rowOff>123825</xdr:rowOff>
    </xdr:from>
    <xdr:to>
      <xdr:col>3</xdr:col>
      <xdr:colOff>157800</xdr:colOff>
      <xdr:row>3</xdr:row>
      <xdr:rowOff>66825</xdr:rowOff>
    </xdr:to>
    <xdr:sp macro="" textlink="">
      <xdr:nvSpPr>
        <xdr:cNvPr id="4" name="Rectangle à coins arrondis 2">
          <a:hlinkClick xmlns:r="http://schemas.openxmlformats.org/officeDocument/2006/relationships" r:id="rId1" tooltip="Back to C&amp;M"/>
        </xdr:cNvPr>
        <xdr:cNvSpPr>
          <a:spLocks noChangeArrowheads="1"/>
        </xdr:cNvSpPr>
      </xdr:nvSpPr>
      <xdr:spPr bwMode="auto">
        <a:xfrm>
          <a:off x="390525" y="447675"/>
          <a:ext cx="252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Community &amp; Management</a:t>
          </a:r>
        </a:p>
      </xdr:txBody>
    </xdr:sp>
    <xdr:clientData/>
  </xdr:twoCellAnchor>
  <xdr:twoCellAnchor>
    <xdr:from>
      <xdr:col>3</xdr:col>
      <xdr:colOff>809626</xdr:colOff>
      <xdr:row>1</xdr:row>
      <xdr:rowOff>133349</xdr:rowOff>
    </xdr:from>
    <xdr:to>
      <xdr:col>5</xdr:col>
      <xdr:colOff>666751</xdr:colOff>
      <xdr:row>3</xdr:row>
      <xdr:rowOff>76349</xdr:rowOff>
    </xdr:to>
    <xdr:sp macro="" textlink="">
      <xdr:nvSpPr>
        <xdr:cNvPr id="5" name="Rectangle à coins arrondis 2">
          <a:hlinkClick xmlns:r="http://schemas.openxmlformats.org/officeDocument/2006/relationships" r:id="rId2" tooltip="Scorecard"/>
        </xdr:cNvPr>
        <xdr:cNvSpPr>
          <a:spLocks noChangeArrowheads="1"/>
        </xdr:cNvSpPr>
      </xdr:nvSpPr>
      <xdr:spPr bwMode="auto">
        <a:xfrm>
          <a:off x="3562351" y="457199"/>
          <a:ext cx="231457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0</xdr:col>
      <xdr:colOff>314325</xdr:colOff>
      <xdr:row>14</xdr:row>
      <xdr:rowOff>85725</xdr:rowOff>
    </xdr:from>
    <xdr:to>
      <xdr:col>1</xdr:col>
      <xdr:colOff>329325</xdr:colOff>
      <xdr:row>16</xdr:row>
      <xdr:rowOff>100725</xdr:rowOff>
    </xdr:to>
    <xdr:pic>
      <xdr:nvPicPr>
        <xdr:cNvPr id="6" name="Picture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4325" y="3181350"/>
          <a:ext cx="396000" cy="396000"/>
        </a:xfrm>
        <a:prstGeom prst="rect">
          <a:avLst/>
        </a:prstGeom>
      </xdr:spPr>
    </xdr:pic>
    <xdr:clientData/>
  </xdr:twoCellAnchor>
  <xdr:oneCellAnchor>
    <xdr:from>
      <xdr:col>0</xdr:col>
      <xdr:colOff>352425</xdr:colOff>
      <xdr:row>20</xdr:row>
      <xdr:rowOff>161925</xdr:rowOff>
    </xdr:from>
    <xdr:ext cx="360000" cy="360000"/>
    <xdr:pic>
      <xdr:nvPicPr>
        <xdr:cNvPr id="7" name="Picture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2425" y="4362450"/>
          <a:ext cx="360000" cy="360000"/>
        </a:xfrm>
        <a:prstGeom prst="rect">
          <a:avLst/>
        </a:prstGeom>
      </xdr:spPr>
    </xdr:pic>
    <xdr:clientData/>
  </xdr:oneCellAnchor>
  <xdr:twoCellAnchor editAs="oneCell">
    <xdr:from>
      <xdr:col>0</xdr:col>
      <xdr:colOff>304800</xdr:colOff>
      <xdr:row>17</xdr:row>
      <xdr:rowOff>66675</xdr:rowOff>
    </xdr:from>
    <xdr:to>
      <xdr:col>1</xdr:col>
      <xdr:colOff>354126</xdr:colOff>
      <xdr:row>19</xdr:row>
      <xdr:rowOff>117675</xdr:rowOff>
    </xdr:to>
    <xdr:pic>
      <xdr:nvPicPr>
        <xdr:cNvPr id="2" name="Picture 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04800" y="3752850"/>
          <a:ext cx="430326" cy="432000"/>
        </a:xfrm>
        <a:prstGeom prst="rect">
          <a:avLst/>
        </a:prstGeom>
      </xdr:spPr>
    </xdr:pic>
    <xdr:clientData/>
  </xdr:twoCellAnchor>
  <xdr:twoCellAnchor>
    <xdr:from>
      <xdr:col>7</xdr:col>
      <xdr:colOff>895350</xdr:colOff>
      <xdr:row>1</xdr:row>
      <xdr:rowOff>114300</xdr:rowOff>
    </xdr:from>
    <xdr:to>
      <xdr:col>8</xdr:col>
      <xdr:colOff>104775</xdr:colOff>
      <xdr:row>3</xdr:row>
      <xdr:rowOff>85725</xdr:rowOff>
    </xdr:to>
    <xdr:sp macro="" textlink="">
      <xdr:nvSpPr>
        <xdr:cNvPr id="8" name="Up Arrow 7">
          <a:hlinkClick xmlns:r="http://schemas.openxmlformats.org/officeDocument/2006/relationships" r:id="rId6" tooltip="Back to top"/>
        </xdr:cNvPr>
        <xdr:cNvSpPr/>
      </xdr:nvSpPr>
      <xdr:spPr>
        <a:xfrm>
          <a:off x="8477250" y="438150"/>
          <a:ext cx="400050"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342899</xdr:colOff>
      <xdr:row>1</xdr:row>
      <xdr:rowOff>123826</xdr:rowOff>
    </xdr:from>
    <xdr:to>
      <xdr:col>2</xdr:col>
      <xdr:colOff>199649</xdr:colOff>
      <xdr:row>3</xdr:row>
      <xdr:rowOff>66826</xdr:rowOff>
    </xdr:to>
    <xdr:sp macro="" textlink="">
      <xdr:nvSpPr>
        <xdr:cNvPr id="5" name="Rectangle à coins arrondis 2">
          <a:hlinkClick xmlns:r="http://schemas.openxmlformats.org/officeDocument/2006/relationships" r:id="rId1" tooltip="Back to C&amp;M"/>
        </xdr:cNvPr>
        <xdr:cNvSpPr>
          <a:spLocks noChangeArrowheads="1"/>
        </xdr:cNvSpPr>
      </xdr:nvSpPr>
      <xdr:spPr bwMode="auto">
        <a:xfrm>
          <a:off x="342899" y="447676"/>
          <a:ext cx="1466475"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C&amp;M</a:t>
          </a:r>
        </a:p>
      </xdr:txBody>
    </xdr:sp>
    <xdr:clientData/>
  </xdr:twoCellAnchor>
  <xdr:twoCellAnchor>
    <xdr:from>
      <xdr:col>2</xdr:col>
      <xdr:colOff>514350</xdr:colOff>
      <xdr:row>1</xdr:row>
      <xdr:rowOff>123825</xdr:rowOff>
    </xdr:from>
    <xdr:to>
      <xdr:col>3</xdr:col>
      <xdr:colOff>902400</xdr:colOff>
      <xdr:row>3</xdr:row>
      <xdr:rowOff>66825</xdr:rowOff>
    </xdr:to>
    <xdr:sp macro="" textlink="">
      <xdr:nvSpPr>
        <xdr:cNvPr id="6" name="Rectangle à coins arrondis 5">
          <a:hlinkClick xmlns:r="http://schemas.openxmlformats.org/officeDocument/2006/relationships" r:id="rId2" tooltip="Scorecard"/>
        </xdr:cNvPr>
        <xdr:cNvSpPr>
          <a:spLocks noChangeArrowheads="1"/>
        </xdr:cNvSpPr>
      </xdr:nvSpPr>
      <xdr:spPr bwMode="auto">
        <a:xfrm>
          <a:off x="2124075" y="447675"/>
          <a:ext cx="1512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3</xdr:col>
      <xdr:colOff>1209675</xdr:colOff>
      <xdr:row>1</xdr:row>
      <xdr:rowOff>142875</xdr:rowOff>
    </xdr:from>
    <xdr:to>
      <xdr:col>4</xdr:col>
      <xdr:colOff>880950</xdr:colOff>
      <xdr:row>3</xdr:row>
      <xdr:rowOff>49875</xdr:rowOff>
    </xdr:to>
    <xdr:sp macro="" textlink="">
      <xdr:nvSpPr>
        <xdr:cNvPr id="7" name="Rectangle à coins arrondis 2">
          <a:hlinkClick xmlns:r="http://schemas.openxmlformats.org/officeDocument/2006/relationships" r:id="rId3" tooltip="Strategy A"/>
        </xdr:cNvPr>
        <xdr:cNvSpPr>
          <a:spLocks noChangeArrowheads="1"/>
        </xdr:cNvSpPr>
      </xdr:nvSpPr>
      <xdr:spPr bwMode="auto">
        <a:xfrm>
          <a:off x="3943350" y="466725"/>
          <a:ext cx="90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A</a:t>
          </a:r>
        </a:p>
      </xdr:txBody>
    </xdr:sp>
    <xdr:clientData/>
  </xdr:twoCellAnchor>
  <xdr:twoCellAnchor>
    <xdr:from>
      <xdr:col>4</xdr:col>
      <xdr:colOff>990600</xdr:colOff>
      <xdr:row>1</xdr:row>
      <xdr:rowOff>142875</xdr:rowOff>
    </xdr:from>
    <xdr:to>
      <xdr:col>5</xdr:col>
      <xdr:colOff>661875</xdr:colOff>
      <xdr:row>3</xdr:row>
      <xdr:rowOff>49875</xdr:rowOff>
    </xdr:to>
    <xdr:sp macro="" textlink="">
      <xdr:nvSpPr>
        <xdr:cNvPr id="8" name="Rectangle à coins arrondis 2">
          <a:hlinkClick xmlns:r="http://schemas.openxmlformats.org/officeDocument/2006/relationships" r:id="rId4" tooltip="Strategy B"/>
        </xdr:cNvPr>
        <xdr:cNvSpPr>
          <a:spLocks noChangeArrowheads="1"/>
        </xdr:cNvSpPr>
      </xdr:nvSpPr>
      <xdr:spPr bwMode="auto">
        <a:xfrm>
          <a:off x="4953000" y="466725"/>
          <a:ext cx="90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B</a:t>
          </a:r>
        </a:p>
      </xdr:txBody>
    </xdr:sp>
    <xdr:clientData/>
  </xdr:twoCellAnchor>
  <xdr:twoCellAnchor>
    <xdr:from>
      <xdr:col>5</xdr:col>
      <xdr:colOff>771525</xdr:colOff>
      <xdr:row>1</xdr:row>
      <xdr:rowOff>142875</xdr:rowOff>
    </xdr:from>
    <xdr:to>
      <xdr:col>6</xdr:col>
      <xdr:colOff>442800</xdr:colOff>
      <xdr:row>3</xdr:row>
      <xdr:rowOff>49875</xdr:rowOff>
    </xdr:to>
    <xdr:sp macro="" textlink="">
      <xdr:nvSpPr>
        <xdr:cNvPr id="9" name="Rectangle à coins arrondis 2">
          <a:hlinkClick xmlns:r="http://schemas.openxmlformats.org/officeDocument/2006/relationships" r:id="rId5" tooltip="Strategy C"/>
        </xdr:cNvPr>
        <xdr:cNvSpPr>
          <a:spLocks noChangeArrowheads="1"/>
        </xdr:cNvSpPr>
      </xdr:nvSpPr>
      <xdr:spPr bwMode="auto">
        <a:xfrm>
          <a:off x="5962650" y="466725"/>
          <a:ext cx="90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C</a:t>
          </a:r>
        </a:p>
      </xdr:txBody>
    </xdr:sp>
    <xdr:clientData/>
  </xdr:twoCellAnchor>
  <xdr:twoCellAnchor>
    <xdr:from>
      <xdr:col>6</xdr:col>
      <xdr:colOff>561975</xdr:colOff>
      <xdr:row>1</xdr:row>
      <xdr:rowOff>142875</xdr:rowOff>
    </xdr:from>
    <xdr:to>
      <xdr:col>7</xdr:col>
      <xdr:colOff>242775</xdr:colOff>
      <xdr:row>3</xdr:row>
      <xdr:rowOff>49875</xdr:rowOff>
    </xdr:to>
    <xdr:sp macro="" textlink="">
      <xdr:nvSpPr>
        <xdr:cNvPr id="10" name="Rectangle à coins arrondis 2">
          <a:hlinkClick xmlns:r="http://schemas.openxmlformats.org/officeDocument/2006/relationships" r:id="rId6" tooltip="Strategy D"/>
        </xdr:cNvPr>
        <xdr:cNvSpPr>
          <a:spLocks noChangeArrowheads="1"/>
        </xdr:cNvSpPr>
      </xdr:nvSpPr>
      <xdr:spPr bwMode="auto">
        <a:xfrm>
          <a:off x="6981825" y="466725"/>
          <a:ext cx="90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D</a:t>
          </a:r>
        </a:p>
      </xdr:txBody>
    </xdr:sp>
    <xdr:clientData/>
  </xdr:twoCellAnchor>
  <xdr:twoCellAnchor>
    <xdr:from>
      <xdr:col>7</xdr:col>
      <xdr:colOff>352425</xdr:colOff>
      <xdr:row>1</xdr:row>
      <xdr:rowOff>142875</xdr:rowOff>
    </xdr:from>
    <xdr:to>
      <xdr:col>7</xdr:col>
      <xdr:colOff>1252425</xdr:colOff>
      <xdr:row>3</xdr:row>
      <xdr:rowOff>49875</xdr:rowOff>
    </xdr:to>
    <xdr:sp macro="" textlink="">
      <xdr:nvSpPr>
        <xdr:cNvPr id="11" name="Rectangle à coins arrondis 2">
          <a:hlinkClick xmlns:r="http://schemas.openxmlformats.org/officeDocument/2006/relationships" r:id="rId7" tooltip="Strategy E"/>
        </xdr:cNvPr>
        <xdr:cNvSpPr>
          <a:spLocks noChangeArrowheads="1"/>
        </xdr:cNvSpPr>
      </xdr:nvSpPr>
      <xdr:spPr bwMode="auto">
        <a:xfrm>
          <a:off x="7991475" y="466725"/>
          <a:ext cx="90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Strategy E</a:t>
          </a:r>
        </a:p>
      </xdr:txBody>
    </xdr:sp>
    <xdr:clientData/>
  </xdr:twoCellAnchor>
  <xdr:twoCellAnchor editAs="oneCell">
    <xdr:from>
      <xdr:col>1</xdr:col>
      <xdr:colOff>57150</xdr:colOff>
      <xdr:row>22</xdr:row>
      <xdr:rowOff>38100</xdr:rowOff>
    </xdr:from>
    <xdr:to>
      <xdr:col>1</xdr:col>
      <xdr:colOff>453150</xdr:colOff>
      <xdr:row>23</xdr:row>
      <xdr:rowOff>205500</xdr:rowOff>
    </xdr:to>
    <xdr:pic>
      <xdr:nvPicPr>
        <xdr:cNvPr id="13" name="Picture 1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150" y="5686425"/>
          <a:ext cx="396000" cy="396000"/>
        </a:xfrm>
        <a:prstGeom prst="rect">
          <a:avLst/>
        </a:prstGeom>
      </xdr:spPr>
    </xdr:pic>
    <xdr:clientData/>
  </xdr:twoCellAnchor>
  <xdr:oneCellAnchor>
    <xdr:from>
      <xdr:col>1</xdr:col>
      <xdr:colOff>47625</xdr:colOff>
      <xdr:row>24</xdr:row>
      <xdr:rowOff>142875</xdr:rowOff>
    </xdr:from>
    <xdr:ext cx="360000" cy="360000"/>
    <xdr:pic>
      <xdr:nvPicPr>
        <xdr:cNvPr id="14" name="Picture 1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28625" y="6248400"/>
          <a:ext cx="360000" cy="360000"/>
        </a:xfrm>
        <a:prstGeom prst="rect">
          <a:avLst/>
        </a:prstGeom>
      </xdr:spPr>
    </xdr:pic>
    <xdr:clientData/>
  </xdr:oneCellAnchor>
  <xdr:twoCellAnchor editAs="oneCell">
    <xdr:from>
      <xdr:col>1</xdr:col>
      <xdr:colOff>0</xdr:colOff>
      <xdr:row>52</xdr:row>
      <xdr:rowOff>66675</xdr:rowOff>
    </xdr:from>
    <xdr:to>
      <xdr:col>1</xdr:col>
      <xdr:colOff>396000</xdr:colOff>
      <xdr:row>54</xdr:row>
      <xdr:rowOff>119775</xdr:rowOff>
    </xdr:to>
    <xdr:pic>
      <xdr:nvPicPr>
        <xdr:cNvPr id="15" name="Picture 14"/>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0" y="12230100"/>
          <a:ext cx="396000" cy="396000"/>
        </a:xfrm>
        <a:prstGeom prst="rect">
          <a:avLst/>
        </a:prstGeom>
      </xdr:spPr>
    </xdr:pic>
    <xdr:clientData/>
  </xdr:twoCellAnchor>
  <xdr:twoCellAnchor editAs="oneCell">
    <xdr:from>
      <xdr:col>1</xdr:col>
      <xdr:colOff>38100</xdr:colOff>
      <xdr:row>63</xdr:row>
      <xdr:rowOff>123825</xdr:rowOff>
    </xdr:from>
    <xdr:to>
      <xdr:col>1</xdr:col>
      <xdr:colOff>398100</xdr:colOff>
      <xdr:row>65</xdr:row>
      <xdr:rowOff>102825</xdr:rowOff>
    </xdr:to>
    <xdr:pic>
      <xdr:nvPicPr>
        <xdr:cNvPr id="2" name="Picture 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19100" y="13049250"/>
          <a:ext cx="360000" cy="360000"/>
        </a:xfrm>
        <a:prstGeom prst="rect">
          <a:avLst/>
        </a:prstGeom>
      </xdr:spPr>
    </xdr:pic>
    <xdr:clientData/>
  </xdr:twoCellAnchor>
  <xdr:oneCellAnchor>
    <xdr:from>
      <xdr:col>1</xdr:col>
      <xdr:colOff>28575</xdr:colOff>
      <xdr:row>61</xdr:row>
      <xdr:rowOff>114300</xdr:rowOff>
    </xdr:from>
    <xdr:ext cx="360000" cy="360000"/>
    <xdr:pic>
      <xdr:nvPicPr>
        <xdr:cNvPr id="18" name="Picture 17"/>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9575" y="14182725"/>
          <a:ext cx="360000" cy="360000"/>
        </a:xfrm>
        <a:prstGeom prst="rect">
          <a:avLst/>
        </a:prstGeom>
      </xdr:spPr>
    </xdr:pic>
    <xdr:clientData/>
  </xdr:oneCellAnchor>
  <xdr:twoCellAnchor editAs="oneCell">
    <xdr:from>
      <xdr:col>1</xdr:col>
      <xdr:colOff>57150</xdr:colOff>
      <xdr:row>57</xdr:row>
      <xdr:rowOff>19050</xdr:rowOff>
    </xdr:from>
    <xdr:to>
      <xdr:col>1</xdr:col>
      <xdr:colOff>597150</xdr:colOff>
      <xdr:row>59</xdr:row>
      <xdr:rowOff>178050</xdr:rowOff>
    </xdr:to>
    <xdr:pic>
      <xdr:nvPicPr>
        <xdr:cNvPr id="19" name="Picture 18"/>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38150" y="13134975"/>
          <a:ext cx="540000" cy="540000"/>
        </a:xfrm>
        <a:prstGeom prst="rect">
          <a:avLst/>
        </a:prstGeom>
      </xdr:spPr>
    </xdr:pic>
    <xdr:clientData/>
  </xdr:twoCellAnchor>
  <xdr:twoCellAnchor editAs="oneCell">
    <xdr:from>
      <xdr:col>1</xdr:col>
      <xdr:colOff>9525</xdr:colOff>
      <xdr:row>88</xdr:row>
      <xdr:rowOff>95250</xdr:rowOff>
    </xdr:from>
    <xdr:to>
      <xdr:col>1</xdr:col>
      <xdr:colOff>405525</xdr:colOff>
      <xdr:row>90</xdr:row>
      <xdr:rowOff>110250</xdr:rowOff>
    </xdr:to>
    <xdr:pic>
      <xdr:nvPicPr>
        <xdr:cNvPr id="20" name="Picture 1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90525" y="19907250"/>
          <a:ext cx="396000" cy="396000"/>
        </a:xfrm>
        <a:prstGeom prst="rect">
          <a:avLst/>
        </a:prstGeom>
      </xdr:spPr>
    </xdr:pic>
    <xdr:clientData/>
  </xdr:twoCellAnchor>
  <xdr:oneCellAnchor>
    <xdr:from>
      <xdr:col>1</xdr:col>
      <xdr:colOff>38100</xdr:colOff>
      <xdr:row>90</xdr:row>
      <xdr:rowOff>161925</xdr:rowOff>
    </xdr:from>
    <xdr:ext cx="360000" cy="360000"/>
    <xdr:pic>
      <xdr:nvPicPr>
        <xdr:cNvPr id="21" name="Picture 2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9100" y="20354925"/>
          <a:ext cx="360000" cy="360000"/>
        </a:xfrm>
        <a:prstGeom prst="rect">
          <a:avLst/>
        </a:prstGeom>
      </xdr:spPr>
    </xdr:pic>
    <xdr:clientData/>
  </xdr:oneCellAnchor>
  <xdr:twoCellAnchor editAs="oneCell">
    <xdr:from>
      <xdr:col>1</xdr:col>
      <xdr:colOff>0</xdr:colOff>
      <xdr:row>120</xdr:row>
      <xdr:rowOff>95250</xdr:rowOff>
    </xdr:from>
    <xdr:to>
      <xdr:col>1</xdr:col>
      <xdr:colOff>396000</xdr:colOff>
      <xdr:row>122</xdr:row>
      <xdr:rowOff>110250</xdr:rowOff>
    </xdr:to>
    <xdr:pic>
      <xdr:nvPicPr>
        <xdr:cNvPr id="22" name="Picture 2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0" y="27031950"/>
          <a:ext cx="396000" cy="396000"/>
        </a:xfrm>
        <a:prstGeom prst="rect">
          <a:avLst/>
        </a:prstGeom>
      </xdr:spPr>
    </xdr:pic>
    <xdr:clientData/>
  </xdr:twoCellAnchor>
  <xdr:oneCellAnchor>
    <xdr:from>
      <xdr:col>1</xdr:col>
      <xdr:colOff>28575</xdr:colOff>
      <xdr:row>122</xdr:row>
      <xdr:rowOff>142875</xdr:rowOff>
    </xdr:from>
    <xdr:ext cx="360000" cy="360000"/>
    <xdr:pic>
      <xdr:nvPicPr>
        <xdr:cNvPr id="23" name="Picture 22"/>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9575" y="27460575"/>
          <a:ext cx="360000" cy="360000"/>
        </a:xfrm>
        <a:prstGeom prst="rect">
          <a:avLst/>
        </a:prstGeom>
      </xdr:spPr>
    </xdr:pic>
    <xdr:clientData/>
  </xdr:oneCellAnchor>
  <xdr:oneCellAnchor>
    <xdr:from>
      <xdr:col>1</xdr:col>
      <xdr:colOff>0</xdr:colOff>
      <xdr:row>144</xdr:row>
      <xdr:rowOff>47625</xdr:rowOff>
    </xdr:from>
    <xdr:ext cx="396000" cy="396000"/>
    <xdr:pic>
      <xdr:nvPicPr>
        <xdr:cNvPr id="26" name="Picture 25"/>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0" y="32165925"/>
          <a:ext cx="396000" cy="396000"/>
        </a:xfrm>
        <a:prstGeom prst="rect">
          <a:avLst/>
        </a:prstGeom>
      </xdr:spPr>
    </xdr:pic>
    <xdr:clientData/>
  </xdr:oneCellAnchor>
  <xdr:oneCellAnchor>
    <xdr:from>
      <xdr:col>1</xdr:col>
      <xdr:colOff>38100</xdr:colOff>
      <xdr:row>146</xdr:row>
      <xdr:rowOff>171450</xdr:rowOff>
    </xdr:from>
    <xdr:ext cx="360000" cy="360000"/>
    <xdr:pic>
      <xdr:nvPicPr>
        <xdr:cNvPr id="27" name="Picture 26"/>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19100" y="32613600"/>
          <a:ext cx="360000" cy="360000"/>
        </a:xfrm>
        <a:prstGeom prst="rect">
          <a:avLst/>
        </a:prstGeom>
      </xdr:spPr>
    </xdr:pic>
    <xdr:clientData/>
  </xdr:oneCellAnchor>
  <xdr:twoCellAnchor>
    <xdr:from>
      <xdr:col>7</xdr:col>
      <xdr:colOff>1400175</xdr:colOff>
      <xdr:row>1</xdr:row>
      <xdr:rowOff>85725</xdr:rowOff>
    </xdr:from>
    <xdr:to>
      <xdr:col>8</xdr:col>
      <xdr:colOff>352425</xdr:colOff>
      <xdr:row>3</xdr:row>
      <xdr:rowOff>57150</xdr:rowOff>
    </xdr:to>
    <xdr:sp macro="" textlink="">
      <xdr:nvSpPr>
        <xdr:cNvPr id="31" name="Up Arrow 30">
          <a:hlinkClick xmlns:r="http://schemas.openxmlformats.org/officeDocument/2006/relationships" r:id="rId12" tooltip="Back to top"/>
        </xdr:cNvPr>
        <xdr:cNvSpPr/>
      </xdr:nvSpPr>
      <xdr:spPr>
        <a:xfrm>
          <a:off x="9039225" y="409575"/>
          <a:ext cx="400050"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xdr:col>
      <xdr:colOff>9524</xdr:colOff>
      <xdr:row>1</xdr:row>
      <xdr:rowOff>123826</xdr:rowOff>
    </xdr:from>
    <xdr:to>
      <xdr:col>3</xdr:col>
      <xdr:colOff>167324</xdr:colOff>
      <xdr:row>3</xdr:row>
      <xdr:rowOff>66826</xdr:rowOff>
    </xdr:to>
    <xdr:sp macro="" textlink="">
      <xdr:nvSpPr>
        <xdr:cNvPr id="2" name="Rectangle à coins arrondis 2">
          <a:hlinkClick xmlns:r="http://schemas.openxmlformats.org/officeDocument/2006/relationships" r:id="rId1" tooltip="Back to C&amp;M"/>
        </xdr:cNvPr>
        <xdr:cNvSpPr>
          <a:spLocks noChangeArrowheads="1"/>
        </xdr:cNvSpPr>
      </xdr:nvSpPr>
      <xdr:spPr bwMode="auto">
        <a:xfrm>
          <a:off x="390524" y="447676"/>
          <a:ext cx="252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Community &amp; Management</a:t>
          </a:r>
        </a:p>
      </xdr:txBody>
    </xdr:sp>
    <xdr:clientData/>
  </xdr:twoCellAnchor>
  <xdr:twoCellAnchor>
    <xdr:from>
      <xdr:col>3</xdr:col>
      <xdr:colOff>790574</xdr:colOff>
      <xdr:row>1</xdr:row>
      <xdr:rowOff>123825</xdr:rowOff>
    </xdr:from>
    <xdr:to>
      <xdr:col>5</xdr:col>
      <xdr:colOff>673124</xdr:colOff>
      <xdr:row>3</xdr:row>
      <xdr:rowOff>66825</xdr:rowOff>
    </xdr:to>
    <xdr:sp macro="" textlink="">
      <xdr:nvSpPr>
        <xdr:cNvPr id="4" name="Rectangle à coins arrondis 2">
          <a:hlinkClick xmlns:r="http://schemas.openxmlformats.org/officeDocument/2006/relationships" r:id="rId2" tooltip="Scorecard"/>
        </xdr:cNvPr>
        <xdr:cNvSpPr>
          <a:spLocks noChangeArrowheads="1"/>
        </xdr:cNvSpPr>
      </xdr:nvSpPr>
      <xdr:spPr bwMode="auto">
        <a:xfrm>
          <a:off x="3533774" y="447675"/>
          <a:ext cx="234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57150</xdr:colOff>
      <xdr:row>15</xdr:row>
      <xdr:rowOff>38100</xdr:rowOff>
    </xdr:from>
    <xdr:to>
      <xdr:col>1</xdr:col>
      <xdr:colOff>453150</xdr:colOff>
      <xdr:row>16</xdr:row>
      <xdr:rowOff>205500</xdr:rowOff>
    </xdr:to>
    <xdr:pic>
      <xdr:nvPicPr>
        <xdr:cNvPr id="16" name="Picture 1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8150" y="3333750"/>
          <a:ext cx="396000" cy="396000"/>
        </a:xfrm>
        <a:prstGeom prst="rect">
          <a:avLst/>
        </a:prstGeom>
      </xdr:spPr>
    </xdr:pic>
    <xdr:clientData/>
  </xdr:twoCellAnchor>
  <xdr:oneCellAnchor>
    <xdr:from>
      <xdr:col>1</xdr:col>
      <xdr:colOff>28575</xdr:colOff>
      <xdr:row>17</xdr:row>
      <xdr:rowOff>104775</xdr:rowOff>
    </xdr:from>
    <xdr:ext cx="360000" cy="360000"/>
    <xdr:pic>
      <xdr:nvPicPr>
        <xdr:cNvPr id="17" name="Picture 1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9575" y="3857625"/>
          <a:ext cx="360000" cy="360000"/>
        </a:xfrm>
        <a:prstGeom prst="rect">
          <a:avLst/>
        </a:prstGeom>
      </xdr:spPr>
    </xdr:pic>
    <xdr:clientData/>
  </xdr:oneCellAnchor>
  <xdr:twoCellAnchor>
    <xdr:from>
      <xdr:col>7</xdr:col>
      <xdr:colOff>914400</xdr:colOff>
      <xdr:row>1</xdr:row>
      <xdr:rowOff>85725</xdr:rowOff>
    </xdr:from>
    <xdr:to>
      <xdr:col>8</xdr:col>
      <xdr:colOff>47625</xdr:colOff>
      <xdr:row>3</xdr:row>
      <xdr:rowOff>57150</xdr:rowOff>
    </xdr:to>
    <xdr:sp macro="" textlink="">
      <xdr:nvSpPr>
        <xdr:cNvPr id="6" name="Up Arrow 5">
          <a:hlinkClick xmlns:r="http://schemas.openxmlformats.org/officeDocument/2006/relationships" r:id="rId5" tooltip="Back to top"/>
        </xdr:cNvPr>
        <xdr:cNvSpPr/>
      </xdr:nvSpPr>
      <xdr:spPr>
        <a:xfrm>
          <a:off x="8610600" y="409575"/>
          <a:ext cx="381000"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0</xdr:col>
      <xdr:colOff>352424</xdr:colOff>
      <xdr:row>1</xdr:row>
      <xdr:rowOff>133351</xdr:rowOff>
    </xdr:from>
    <xdr:to>
      <xdr:col>2</xdr:col>
      <xdr:colOff>722699</xdr:colOff>
      <xdr:row>3</xdr:row>
      <xdr:rowOff>76351</xdr:rowOff>
    </xdr:to>
    <xdr:sp macro="" textlink="">
      <xdr:nvSpPr>
        <xdr:cNvPr id="2" name="Rectangle à coins arrondis 2">
          <a:hlinkClick xmlns:r="http://schemas.openxmlformats.org/officeDocument/2006/relationships" r:id="rId1" tooltip="Back to C&amp;M"/>
        </xdr:cNvPr>
        <xdr:cNvSpPr>
          <a:spLocks noChangeArrowheads="1"/>
        </xdr:cNvSpPr>
      </xdr:nvSpPr>
      <xdr:spPr bwMode="auto">
        <a:xfrm>
          <a:off x="352424" y="457201"/>
          <a:ext cx="1980000" cy="324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C&amp;M </a:t>
          </a:r>
        </a:p>
      </xdr:txBody>
    </xdr:sp>
    <xdr:clientData/>
  </xdr:twoCellAnchor>
  <xdr:twoCellAnchor>
    <xdr:from>
      <xdr:col>2</xdr:col>
      <xdr:colOff>1104900</xdr:colOff>
      <xdr:row>1</xdr:row>
      <xdr:rowOff>133350</xdr:rowOff>
    </xdr:from>
    <xdr:to>
      <xdr:col>4</xdr:col>
      <xdr:colOff>722700</xdr:colOff>
      <xdr:row>3</xdr:row>
      <xdr:rowOff>76350</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2714625" y="457200"/>
          <a:ext cx="198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xdr:from>
      <xdr:col>5</xdr:col>
      <xdr:colOff>28575</xdr:colOff>
      <xdr:row>1</xdr:row>
      <xdr:rowOff>161925</xdr:rowOff>
    </xdr:from>
    <xdr:to>
      <xdr:col>5</xdr:col>
      <xdr:colOff>1108575</xdr:colOff>
      <xdr:row>3</xdr:row>
      <xdr:rowOff>68925</xdr:rowOff>
    </xdr:to>
    <xdr:sp macro="" textlink="">
      <xdr:nvSpPr>
        <xdr:cNvPr id="22" name="Rectangle à coins arrondis 2">
          <a:hlinkClick xmlns:r="http://schemas.openxmlformats.org/officeDocument/2006/relationships" r:id="rId3" tooltip="CM-BPC-1"/>
        </xdr:cNvPr>
        <xdr:cNvSpPr>
          <a:spLocks noChangeArrowheads="1"/>
        </xdr:cNvSpPr>
      </xdr:nvSpPr>
      <xdr:spPr bwMode="auto">
        <a:xfrm>
          <a:off x="5229225" y="485775"/>
          <a:ext cx="10800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CM-BPC-1</a:t>
          </a:r>
        </a:p>
      </xdr:txBody>
    </xdr:sp>
    <xdr:clientData/>
  </xdr:twoCellAnchor>
  <xdr:twoCellAnchor>
    <xdr:from>
      <xdr:col>6</xdr:col>
      <xdr:colOff>57150</xdr:colOff>
      <xdr:row>1</xdr:row>
      <xdr:rowOff>161925</xdr:rowOff>
    </xdr:from>
    <xdr:to>
      <xdr:col>6</xdr:col>
      <xdr:colOff>1060950</xdr:colOff>
      <xdr:row>3</xdr:row>
      <xdr:rowOff>68925</xdr:rowOff>
    </xdr:to>
    <xdr:sp macro="" textlink="">
      <xdr:nvSpPr>
        <xdr:cNvPr id="23" name="Rectangle à coins arrondis 2">
          <a:hlinkClick xmlns:r="http://schemas.openxmlformats.org/officeDocument/2006/relationships" r:id="rId4" tooltip="CM-BPC-2"/>
        </xdr:cNvPr>
        <xdr:cNvSpPr>
          <a:spLocks noChangeArrowheads="1"/>
        </xdr:cNvSpPr>
      </xdr:nvSpPr>
      <xdr:spPr bwMode="auto">
        <a:xfrm>
          <a:off x="6486525" y="485775"/>
          <a:ext cx="1003800"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CM-BPC-2</a:t>
          </a:r>
        </a:p>
      </xdr:txBody>
    </xdr:sp>
    <xdr:clientData/>
  </xdr:twoCellAnchor>
  <xdr:twoCellAnchor>
    <xdr:from>
      <xdr:col>7</xdr:col>
      <xdr:colOff>9525</xdr:colOff>
      <xdr:row>1</xdr:row>
      <xdr:rowOff>161925</xdr:rowOff>
    </xdr:from>
    <xdr:to>
      <xdr:col>7</xdr:col>
      <xdr:colOff>1022850</xdr:colOff>
      <xdr:row>3</xdr:row>
      <xdr:rowOff>68925</xdr:rowOff>
    </xdr:to>
    <xdr:sp macro="" textlink="">
      <xdr:nvSpPr>
        <xdr:cNvPr id="24" name="Rectangle à coins arrondis 2">
          <a:hlinkClick xmlns:r="http://schemas.openxmlformats.org/officeDocument/2006/relationships" r:id="rId5" tooltip="CM-BPC-3"/>
        </xdr:cNvPr>
        <xdr:cNvSpPr>
          <a:spLocks noChangeArrowheads="1"/>
        </xdr:cNvSpPr>
      </xdr:nvSpPr>
      <xdr:spPr bwMode="auto">
        <a:xfrm>
          <a:off x="7658100" y="485775"/>
          <a:ext cx="1013325" cy="288000"/>
        </a:xfrm>
        <a:prstGeom prst="roundRect">
          <a:avLst>
            <a:gd name="adj" fmla="val 16667"/>
          </a:avLst>
        </a:prstGeom>
        <a:solidFill>
          <a:srgbClr val="984806"/>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CM-BPC-3</a:t>
          </a:r>
        </a:p>
      </xdr:txBody>
    </xdr:sp>
    <xdr:clientData/>
  </xdr:twoCellAnchor>
  <xdr:twoCellAnchor editAs="oneCell">
    <xdr:from>
      <xdr:col>1</xdr:col>
      <xdr:colOff>0</xdr:colOff>
      <xdr:row>18</xdr:row>
      <xdr:rowOff>95250</xdr:rowOff>
    </xdr:from>
    <xdr:to>
      <xdr:col>1</xdr:col>
      <xdr:colOff>396000</xdr:colOff>
      <xdr:row>20</xdr:row>
      <xdr:rowOff>110250</xdr:rowOff>
    </xdr:to>
    <xdr:pic>
      <xdr:nvPicPr>
        <xdr:cNvPr id="13" name="Picture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3781425"/>
          <a:ext cx="396000" cy="396000"/>
        </a:xfrm>
        <a:prstGeom prst="rect">
          <a:avLst/>
        </a:prstGeom>
      </xdr:spPr>
    </xdr:pic>
    <xdr:clientData/>
  </xdr:twoCellAnchor>
  <xdr:twoCellAnchor editAs="oneCell">
    <xdr:from>
      <xdr:col>1</xdr:col>
      <xdr:colOff>28575</xdr:colOff>
      <xdr:row>20</xdr:row>
      <xdr:rowOff>190500</xdr:rowOff>
    </xdr:from>
    <xdr:to>
      <xdr:col>1</xdr:col>
      <xdr:colOff>388575</xdr:colOff>
      <xdr:row>22</xdr:row>
      <xdr:rowOff>83775</xdr:rowOff>
    </xdr:to>
    <xdr:pic>
      <xdr:nvPicPr>
        <xdr:cNvPr id="14" name="Picture 13"/>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09575" y="4257675"/>
          <a:ext cx="360000" cy="360000"/>
        </a:xfrm>
        <a:prstGeom prst="rect">
          <a:avLst/>
        </a:prstGeom>
      </xdr:spPr>
    </xdr:pic>
    <xdr:clientData/>
  </xdr:twoCellAnchor>
  <xdr:oneCellAnchor>
    <xdr:from>
      <xdr:col>1</xdr:col>
      <xdr:colOff>38100</xdr:colOff>
      <xdr:row>47</xdr:row>
      <xdr:rowOff>142875</xdr:rowOff>
    </xdr:from>
    <xdr:ext cx="360000" cy="360000"/>
    <xdr:pic>
      <xdr:nvPicPr>
        <xdr:cNvPr id="15" name="Picture 14"/>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19100" y="9982200"/>
          <a:ext cx="360000" cy="360000"/>
        </a:xfrm>
        <a:prstGeom prst="rect">
          <a:avLst/>
        </a:prstGeom>
      </xdr:spPr>
    </xdr:pic>
    <xdr:clientData/>
  </xdr:oneCellAnchor>
  <xdr:twoCellAnchor editAs="oneCell">
    <xdr:from>
      <xdr:col>1</xdr:col>
      <xdr:colOff>9525</xdr:colOff>
      <xdr:row>45</xdr:row>
      <xdr:rowOff>85725</xdr:rowOff>
    </xdr:from>
    <xdr:to>
      <xdr:col>1</xdr:col>
      <xdr:colOff>405525</xdr:colOff>
      <xdr:row>47</xdr:row>
      <xdr:rowOff>100725</xdr:rowOff>
    </xdr:to>
    <xdr:pic>
      <xdr:nvPicPr>
        <xdr:cNvPr id="16" name="Picture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90525" y="9544050"/>
          <a:ext cx="396000" cy="396000"/>
        </a:xfrm>
        <a:prstGeom prst="rect">
          <a:avLst/>
        </a:prstGeom>
      </xdr:spPr>
    </xdr:pic>
    <xdr:clientData/>
  </xdr:twoCellAnchor>
  <xdr:twoCellAnchor editAs="oneCell">
    <xdr:from>
      <xdr:col>1</xdr:col>
      <xdr:colOff>0</xdr:colOff>
      <xdr:row>66</xdr:row>
      <xdr:rowOff>104775</xdr:rowOff>
    </xdr:from>
    <xdr:to>
      <xdr:col>1</xdr:col>
      <xdr:colOff>396000</xdr:colOff>
      <xdr:row>68</xdr:row>
      <xdr:rowOff>81675</xdr:rowOff>
    </xdr:to>
    <xdr:pic>
      <xdr:nvPicPr>
        <xdr:cNvPr id="17" name="Picture 1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1000" y="14382750"/>
          <a:ext cx="396000" cy="396000"/>
        </a:xfrm>
        <a:prstGeom prst="rect">
          <a:avLst/>
        </a:prstGeom>
      </xdr:spPr>
    </xdr:pic>
    <xdr:clientData/>
  </xdr:twoCellAnchor>
  <xdr:twoCellAnchor editAs="oneCell">
    <xdr:from>
      <xdr:col>1</xdr:col>
      <xdr:colOff>57150</xdr:colOff>
      <xdr:row>70</xdr:row>
      <xdr:rowOff>76200</xdr:rowOff>
    </xdr:from>
    <xdr:to>
      <xdr:col>1</xdr:col>
      <xdr:colOff>633150</xdr:colOff>
      <xdr:row>72</xdr:row>
      <xdr:rowOff>99750</xdr:rowOff>
    </xdr:to>
    <xdr:pic>
      <xdr:nvPicPr>
        <xdr:cNvPr id="18" name="Picture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8150" y="15173325"/>
          <a:ext cx="576000" cy="576000"/>
        </a:xfrm>
        <a:prstGeom prst="rect">
          <a:avLst/>
        </a:prstGeom>
      </xdr:spPr>
    </xdr:pic>
    <xdr:clientData/>
  </xdr:twoCellAnchor>
  <xdr:twoCellAnchor>
    <xdr:from>
      <xdr:col>8</xdr:col>
      <xdr:colOff>123825</xdr:colOff>
      <xdr:row>1</xdr:row>
      <xdr:rowOff>104775</xdr:rowOff>
    </xdr:from>
    <xdr:to>
      <xdr:col>8</xdr:col>
      <xdr:colOff>523875</xdr:colOff>
      <xdr:row>3</xdr:row>
      <xdr:rowOff>76200</xdr:rowOff>
    </xdr:to>
    <xdr:sp macro="" textlink="">
      <xdr:nvSpPr>
        <xdr:cNvPr id="19" name="Up Arrow 18">
          <a:hlinkClick xmlns:r="http://schemas.openxmlformats.org/officeDocument/2006/relationships" r:id="rId9" tooltip="Back to top"/>
        </xdr:cNvPr>
        <xdr:cNvSpPr/>
      </xdr:nvSpPr>
      <xdr:spPr>
        <a:xfrm>
          <a:off x="9220200" y="428625"/>
          <a:ext cx="400050" cy="352425"/>
        </a:xfrm>
        <a:prstGeom prst="upArrow">
          <a:avLst/>
        </a:prstGeom>
        <a:solidFill>
          <a:srgbClr val="984806"/>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76923C"/>
            </a:solidFill>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1</xdr:col>
      <xdr:colOff>31747</xdr:colOff>
      <xdr:row>10</xdr:row>
      <xdr:rowOff>10582</xdr:rowOff>
    </xdr:from>
    <xdr:to>
      <xdr:col>1</xdr:col>
      <xdr:colOff>2011747</xdr:colOff>
      <xdr:row>12</xdr:row>
      <xdr:rowOff>25582</xdr:rowOff>
    </xdr:to>
    <xdr:sp macro="" textlink="">
      <xdr:nvSpPr>
        <xdr:cNvPr id="3" name="Rectangle à coins arrondis 2">
          <a:hlinkClick xmlns:r="http://schemas.openxmlformats.org/officeDocument/2006/relationships" r:id="rId1" tooltip="Scorecard"/>
        </xdr:cNvPr>
        <xdr:cNvSpPr>
          <a:spLocks noChangeArrowheads="1"/>
        </xdr:cNvSpPr>
      </xdr:nvSpPr>
      <xdr:spPr bwMode="auto">
        <a:xfrm>
          <a:off x="412747" y="2741082"/>
          <a:ext cx="1980000" cy="396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rgbClr val="000000"/>
          </a:solidFill>
          <a:round/>
          <a:headEnd/>
          <a:tailEnd/>
        </a:ln>
        <a:effectLst>
          <a:outerShdw dist="20000" dir="5400000" rotWithShape="0">
            <a:srgbClr val="000000">
              <a:alpha val="37999"/>
            </a:srgbClr>
          </a:outerShdw>
        </a:effectLst>
      </xdr:spPr>
      <xdr:txBody>
        <a:bodyPr vertOverflow="clip" wrap="square" lIns="36576" tIns="36576" rIns="36576" bIns="36576" anchor="ctr" upright="1"/>
        <a:lstStyle/>
        <a:p>
          <a:pPr algn="ctr" rtl="0">
            <a:defRPr sz="1000"/>
          </a:pPr>
          <a:r>
            <a:rPr lang="fr-FR" sz="1600" b="0" i="0" u="none" strike="noStrike" baseline="0">
              <a:solidFill>
                <a:srgbClr val="000000"/>
              </a:solidFill>
              <a:latin typeface="Calibri"/>
            </a:rPr>
            <a:t>See the Scorecard</a:t>
          </a:r>
        </a:p>
      </xdr:txBody>
    </xdr:sp>
    <xdr:clientData/>
  </xdr:twoCellAnchor>
  <xdr:twoCellAnchor editAs="oneCell">
    <xdr:from>
      <xdr:col>9</xdr:col>
      <xdr:colOff>105833</xdr:colOff>
      <xdr:row>0</xdr:row>
      <xdr:rowOff>42333</xdr:rowOff>
    </xdr:from>
    <xdr:to>
      <xdr:col>11</xdr:col>
      <xdr:colOff>212083</xdr:colOff>
      <xdr:row>2</xdr:row>
      <xdr:rowOff>210009</xdr:rowOff>
    </xdr:to>
    <xdr:pic>
      <xdr:nvPicPr>
        <xdr:cNvPr id="5" name="Image 2" descr="Innovation.png"/>
        <xdr:cNvPicPr>
          <a:picLocks noChangeAspect="1"/>
        </xdr:cNvPicPr>
      </xdr:nvPicPr>
      <xdr:blipFill>
        <a:blip xmlns:r="http://schemas.openxmlformats.org/officeDocument/2006/relationships" r:embed="rId2" cstate="print"/>
        <a:srcRect/>
        <a:stretch>
          <a:fillRect/>
        </a:stretch>
      </xdr:blipFill>
      <xdr:spPr bwMode="auto">
        <a:xfrm>
          <a:off x="10562166" y="42333"/>
          <a:ext cx="900000" cy="908509"/>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xdr:from>
      <xdr:col>0</xdr:col>
      <xdr:colOff>276225</xdr:colOff>
      <xdr:row>1</xdr:row>
      <xdr:rowOff>123825</xdr:rowOff>
    </xdr:from>
    <xdr:to>
      <xdr:col>2</xdr:col>
      <xdr:colOff>893175</xdr:colOff>
      <xdr:row>3</xdr:row>
      <xdr:rowOff>66825</xdr:rowOff>
    </xdr:to>
    <xdr:sp macro="" textlink="">
      <xdr:nvSpPr>
        <xdr:cNvPr id="2" name="Rectangle à coins arrondis 2">
          <a:hlinkClick xmlns:r="http://schemas.openxmlformats.org/officeDocument/2006/relationships" r:id="rId1" tooltip="Back to Innovation"/>
        </xdr:cNvPr>
        <xdr:cNvSpPr>
          <a:spLocks noChangeArrowheads="1"/>
        </xdr:cNvSpPr>
      </xdr:nvSpPr>
      <xdr:spPr bwMode="auto">
        <a:xfrm>
          <a:off x="276225" y="447675"/>
          <a:ext cx="2160000" cy="324000"/>
        </a:xfrm>
        <a:prstGeom prst="roundRect">
          <a:avLst>
            <a:gd name="adj" fmla="val 16667"/>
          </a:avLst>
        </a:prstGeom>
        <a:solidFill>
          <a:srgbClr val="FFC00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Innovation</a:t>
          </a:r>
        </a:p>
      </xdr:txBody>
    </xdr:sp>
    <xdr:clientData/>
  </xdr:twoCellAnchor>
  <xdr:twoCellAnchor>
    <xdr:from>
      <xdr:col>3</xdr:col>
      <xdr:colOff>352426</xdr:colOff>
      <xdr:row>1</xdr:row>
      <xdr:rowOff>133349</xdr:rowOff>
    </xdr:from>
    <xdr:to>
      <xdr:col>4</xdr:col>
      <xdr:colOff>1064626</xdr:colOff>
      <xdr:row>3</xdr:row>
      <xdr:rowOff>76349</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028951" y="457199"/>
          <a:ext cx="2150475"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twoCellAnchor editAs="oneCell">
    <xdr:from>
      <xdr:col>1</xdr:col>
      <xdr:colOff>9525</xdr:colOff>
      <xdr:row>14</xdr:row>
      <xdr:rowOff>57150</xdr:rowOff>
    </xdr:from>
    <xdr:to>
      <xdr:col>1</xdr:col>
      <xdr:colOff>405525</xdr:colOff>
      <xdr:row>16</xdr:row>
      <xdr:rowOff>72150</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3850" y="3190875"/>
          <a:ext cx="396000" cy="3960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xdr:from>
      <xdr:col>0</xdr:col>
      <xdr:colOff>266700</xdr:colOff>
      <xdr:row>1</xdr:row>
      <xdr:rowOff>123825</xdr:rowOff>
    </xdr:from>
    <xdr:to>
      <xdr:col>2</xdr:col>
      <xdr:colOff>883650</xdr:colOff>
      <xdr:row>3</xdr:row>
      <xdr:rowOff>66825</xdr:rowOff>
    </xdr:to>
    <xdr:sp macro="" textlink="">
      <xdr:nvSpPr>
        <xdr:cNvPr id="2" name="Rectangle à coins arrondis 2">
          <a:hlinkClick xmlns:r="http://schemas.openxmlformats.org/officeDocument/2006/relationships" r:id="rId1" tooltip="Back to Innovation"/>
        </xdr:cNvPr>
        <xdr:cNvSpPr>
          <a:spLocks noChangeArrowheads="1"/>
        </xdr:cNvSpPr>
      </xdr:nvSpPr>
      <xdr:spPr bwMode="auto">
        <a:xfrm>
          <a:off x="266700" y="447675"/>
          <a:ext cx="2160000" cy="324000"/>
        </a:xfrm>
        <a:prstGeom prst="roundRect">
          <a:avLst>
            <a:gd name="adj" fmla="val 16667"/>
          </a:avLst>
        </a:prstGeom>
        <a:solidFill>
          <a:srgbClr val="FFC00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Back to Innovation</a:t>
          </a:r>
        </a:p>
      </xdr:txBody>
    </xdr:sp>
    <xdr:clientData/>
  </xdr:twoCellAnchor>
  <xdr:twoCellAnchor>
    <xdr:from>
      <xdr:col>3</xdr:col>
      <xdr:colOff>323850</xdr:colOff>
      <xdr:row>1</xdr:row>
      <xdr:rowOff>123824</xdr:rowOff>
    </xdr:from>
    <xdr:to>
      <xdr:col>5</xdr:col>
      <xdr:colOff>26400</xdr:colOff>
      <xdr:row>3</xdr:row>
      <xdr:rowOff>66824</xdr:rowOff>
    </xdr:to>
    <xdr:sp macro="" textlink="">
      <xdr:nvSpPr>
        <xdr:cNvPr id="3" name="Rectangle à coins arrondis 2">
          <a:hlinkClick xmlns:r="http://schemas.openxmlformats.org/officeDocument/2006/relationships" r:id="rId2" tooltip="Scorecard"/>
        </xdr:cNvPr>
        <xdr:cNvSpPr>
          <a:spLocks noChangeArrowheads="1"/>
        </xdr:cNvSpPr>
      </xdr:nvSpPr>
      <xdr:spPr bwMode="auto">
        <a:xfrm>
          <a:off x="3000375" y="447674"/>
          <a:ext cx="2160000"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300" b="0" i="0" u="none" strike="noStrike" baseline="0">
              <a:solidFill>
                <a:srgbClr val="000000"/>
              </a:solidFill>
              <a:latin typeface="Arial" panose="020B0604020202020204" pitchFamily="34" charset="0"/>
              <a:cs typeface="Arial" panose="020B0604020202020204" pitchFamily="34" charset="0"/>
            </a:rPr>
            <a:t>See the Scorecard</a:t>
          </a:r>
        </a:p>
      </xdr:txBody>
    </xdr:sp>
    <xdr:clientData/>
  </xdr:twoCellAnchor>
  <xdr:oneCellAnchor>
    <xdr:from>
      <xdr:col>1</xdr:col>
      <xdr:colOff>0</xdr:colOff>
      <xdr:row>14</xdr:row>
      <xdr:rowOff>95250</xdr:rowOff>
    </xdr:from>
    <xdr:ext cx="396000" cy="396000"/>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4325" y="3219450"/>
          <a:ext cx="396000" cy="396000"/>
        </a:xfrm>
        <a:prstGeom prst="rect">
          <a:avLst/>
        </a:prstGeom>
      </xdr:spPr>
    </xdr:pic>
    <xdr:clientData/>
  </xdr:oneCellAnchor>
  <xdr:twoCellAnchor editAs="oneCell">
    <xdr:from>
      <xdr:col>1</xdr:col>
      <xdr:colOff>47625</xdr:colOff>
      <xdr:row>17</xdr:row>
      <xdr:rowOff>57150</xdr:rowOff>
    </xdr:from>
    <xdr:to>
      <xdr:col>1</xdr:col>
      <xdr:colOff>479625</xdr:colOff>
      <xdr:row>19</xdr:row>
      <xdr:rowOff>108150</xdr:rowOff>
    </xdr:to>
    <xdr:pic>
      <xdr:nvPicPr>
        <xdr:cNvPr id="6" name="Picture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61950" y="3724275"/>
          <a:ext cx="432000" cy="432000"/>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13</xdr:col>
      <xdr:colOff>542924</xdr:colOff>
      <xdr:row>52</xdr:row>
      <xdr:rowOff>47625</xdr:rowOff>
    </xdr:from>
    <xdr:to>
      <xdr:col>18</xdr:col>
      <xdr:colOff>552450</xdr:colOff>
      <xdr:row>53</xdr:row>
      <xdr:rowOff>74250</xdr:rowOff>
    </xdr:to>
    <xdr:sp macro="" textlink="">
      <xdr:nvSpPr>
        <xdr:cNvPr id="6" name="Rectangle à coins arrondis 2">
          <a:hlinkClick xmlns:r="http://schemas.openxmlformats.org/officeDocument/2006/relationships" r:id="rId1" tooltip="Project information"/>
        </xdr:cNvPr>
        <xdr:cNvSpPr>
          <a:spLocks noChangeArrowheads="1"/>
        </xdr:cNvSpPr>
      </xdr:nvSpPr>
      <xdr:spPr bwMode="auto">
        <a:xfrm>
          <a:off x="8305799" y="10515600"/>
          <a:ext cx="1838326" cy="30285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Project Information</a:t>
          </a:r>
        </a:p>
      </xdr:txBody>
    </xdr:sp>
    <xdr:clientData/>
  </xdr:twoCellAnchor>
  <xdr:twoCellAnchor editAs="oneCell">
    <xdr:from>
      <xdr:col>0</xdr:col>
      <xdr:colOff>66675</xdr:colOff>
      <xdr:row>54</xdr:row>
      <xdr:rowOff>19050</xdr:rowOff>
    </xdr:from>
    <xdr:to>
      <xdr:col>9</xdr:col>
      <xdr:colOff>247650</xdr:colOff>
      <xdr:row>62</xdr:row>
      <xdr:rowOff>37920</xdr:rowOff>
    </xdr:to>
    <xdr:pic>
      <xdr:nvPicPr>
        <xdr:cNvPr id="7" name="Picture 114" descr="\\VGBC_NETWORK\VGBC Shared\LOTUS\LOTUS Residential\LOTUS R Research\LOTUS R Illustrations\JPEG Version\glossary.jpg"/>
        <xdr:cNvPicPr/>
      </xdr:nvPicPr>
      <xdr:blipFill>
        <a:blip xmlns:r="http://schemas.openxmlformats.org/officeDocument/2006/relationships" r:embed="rId2" cstate="print"/>
        <a:srcRect l="6220" t="4145" r="4679" b="76492"/>
        <a:stretch>
          <a:fillRect/>
        </a:stretch>
      </xdr:blipFill>
      <xdr:spPr bwMode="auto">
        <a:xfrm>
          <a:off x="66675" y="1038225"/>
          <a:ext cx="5048250" cy="1542870"/>
        </a:xfrm>
        <a:prstGeom prst="rect">
          <a:avLst/>
        </a:prstGeom>
        <a:noFill/>
        <a:ln w="9525">
          <a:noFill/>
          <a:miter lim="800000"/>
          <a:headEnd/>
          <a:tailEnd/>
        </a:ln>
      </xdr:spPr>
    </xdr:pic>
    <xdr:clientData/>
  </xdr:twoCellAnchor>
  <xdr:twoCellAnchor editAs="oneCell">
    <xdr:from>
      <xdr:col>0</xdr:col>
      <xdr:colOff>66675</xdr:colOff>
      <xdr:row>62</xdr:row>
      <xdr:rowOff>19050</xdr:rowOff>
    </xdr:from>
    <xdr:to>
      <xdr:col>9</xdr:col>
      <xdr:colOff>230037</xdr:colOff>
      <xdr:row>70</xdr:row>
      <xdr:rowOff>26958</xdr:rowOff>
    </xdr:to>
    <xdr:pic>
      <xdr:nvPicPr>
        <xdr:cNvPr id="8" name="Picture 114" descr="\\VGBC_NETWORK\VGBC Shared\LOTUS\LOTUS Residential\LOTUS R Research\LOTUS R Illustrations\JPEG Version\glossary.jpg"/>
        <xdr:cNvPicPr/>
      </xdr:nvPicPr>
      <xdr:blipFill>
        <a:blip xmlns:r="http://schemas.openxmlformats.org/officeDocument/2006/relationships" r:embed="rId2" cstate="print"/>
        <a:srcRect l="5884" t="36390" r="5326" b="44381"/>
        <a:stretch>
          <a:fillRect/>
        </a:stretch>
      </xdr:blipFill>
      <xdr:spPr bwMode="auto">
        <a:xfrm>
          <a:off x="66675" y="2562225"/>
          <a:ext cx="5030637" cy="1541433"/>
        </a:xfrm>
        <a:prstGeom prst="rect">
          <a:avLst/>
        </a:prstGeom>
        <a:noFill/>
        <a:ln w="9525">
          <a:noFill/>
          <a:miter lim="800000"/>
          <a:headEnd/>
          <a:tailEnd/>
        </a:ln>
      </xdr:spPr>
    </xdr:pic>
    <xdr:clientData/>
  </xdr:twoCellAnchor>
  <xdr:twoCellAnchor editAs="oneCell">
    <xdr:from>
      <xdr:col>0</xdr:col>
      <xdr:colOff>133350</xdr:colOff>
      <xdr:row>70</xdr:row>
      <xdr:rowOff>57150</xdr:rowOff>
    </xdr:from>
    <xdr:to>
      <xdr:col>10</xdr:col>
      <xdr:colOff>80873</xdr:colOff>
      <xdr:row>79</xdr:row>
      <xdr:rowOff>92015</xdr:rowOff>
    </xdr:to>
    <xdr:pic>
      <xdr:nvPicPr>
        <xdr:cNvPr id="9" name="Picture 114" descr="\\VGBC_NETWORK\VGBC Shared\LOTUS\LOTUS Residential\LOTUS R Research\LOTUS R Illustrations\JPEG Version\glossary.jpg"/>
        <xdr:cNvPicPr/>
      </xdr:nvPicPr>
      <xdr:blipFill>
        <a:blip xmlns:r="http://schemas.openxmlformats.org/officeDocument/2006/relationships" r:embed="rId2" cstate="print"/>
        <a:srcRect l="7230" t="69915" r="1050" b="8279"/>
        <a:stretch>
          <a:fillRect/>
        </a:stretch>
      </xdr:blipFill>
      <xdr:spPr bwMode="auto">
        <a:xfrm>
          <a:off x="133350" y="4133850"/>
          <a:ext cx="5195798" cy="1749365"/>
        </a:xfrm>
        <a:prstGeom prst="rect">
          <a:avLst/>
        </a:prstGeom>
        <a:noFill/>
        <a:ln w="9525">
          <a:noFill/>
          <a:miter lim="800000"/>
          <a:headEnd/>
          <a:tailEnd/>
        </a:ln>
      </xdr:spPr>
    </xdr:pic>
    <xdr:clientData/>
  </xdr:twoCellAnchor>
  <xdr:twoCellAnchor>
    <xdr:from>
      <xdr:col>17</xdr:col>
      <xdr:colOff>28576</xdr:colOff>
      <xdr:row>0</xdr:row>
      <xdr:rowOff>47625</xdr:rowOff>
    </xdr:from>
    <xdr:to>
      <xdr:col>18</xdr:col>
      <xdr:colOff>498976</xdr:colOff>
      <xdr:row>0</xdr:row>
      <xdr:rowOff>335625</xdr:rowOff>
    </xdr:to>
    <xdr:sp macro="" textlink="">
      <xdr:nvSpPr>
        <xdr:cNvPr id="13" name="Rectangle à coins arrondis 2">
          <a:hlinkClick xmlns:r="http://schemas.openxmlformats.org/officeDocument/2006/relationships" r:id="rId3" tooltip="Scorecard"/>
        </xdr:cNvPr>
        <xdr:cNvSpPr>
          <a:spLocks noChangeArrowheads="1"/>
        </xdr:cNvSpPr>
      </xdr:nvSpPr>
      <xdr:spPr bwMode="auto">
        <a:xfrm>
          <a:off x="9010651"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14</xdr:col>
      <xdr:colOff>482074</xdr:colOff>
      <xdr:row>0</xdr:row>
      <xdr:rowOff>47625</xdr:rowOff>
    </xdr:from>
    <xdr:to>
      <xdr:col>16</xdr:col>
      <xdr:colOff>342874</xdr:colOff>
      <xdr:row>0</xdr:row>
      <xdr:rowOff>335625</xdr:rowOff>
    </xdr:to>
    <xdr:sp macro="" textlink="">
      <xdr:nvSpPr>
        <xdr:cNvPr id="14" name="Rectangle à coins arrondis 2">
          <a:hlinkClick xmlns:r="http://schemas.openxmlformats.org/officeDocument/2006/relationships" r:id="rId4" tooltip="Instructions"/>
        </xdr:cNvPr>
        <xdr:cNvSpPr>
          <a:spLocks noChangeArrowheads="1"/>
        </xdr:cNvSpPr>
      </xdr:nvSpPr>
      <xdr:spPr bwMode="auto">
        <a:xfrm>
          <a:off x="7521049"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12</xdr:col>
      <xdr:colOff>85725</xdr:colOff>
      <xdr:row>0</xdr:row>
      <xdr:rowOff>47625</xdr:rowOff>
    </xdr:from>
    <xdr:to>
      <xdr:col>14</xdr:col>
      <xdr:colOff>270375</xdr:colOff>
      <xdr:row>0</xdr:row>
      <xdr:rowOff>335625</xdr:rowOff>
    </xdr:to>
    <xdr:sp macro="" textlink="">
      <xdr:nvSpPr>
        <xdr:cNvPr id="15" name="Rectangle à coins arrondis 2">
          <a:hlinkClick xmlns:r="http://schemas.openxmlformats.org/officeDocument/2006/relationships" r:id="rId5" tooltip="Introduction"/>
        </xdr:cNvPr>
        <xdr:cNvSpPr>
          <a:spLocks noChangeArrowheads="1"/>
        </xdr:cNvSpPr>
      </xdr:nvSpPr>
      <xdr:spPr bwMode="auto">
        <a:xfrm>
          <a:off x="6229350"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twoCellAnchor>
    <xdr:from>
      <xdr:col>13</xdr:col>
      <xdr:colOff>401250</xdr:colOff>
      <xdr:row>33</xdr:row>
      <xdr:rowOff>38100</xdr:rowOff>
    </xdr:from>
    <xdr:to>
      <xdr:col>18</xdr:col>
      <xdr:colOff>552450</xdr:colOff>
      <xdr:row>34</xdr:row>
      <xdr:rowOff>112350</xdr:rowOff>
    </xdr:to>
    <xdr:sp macro="" textlink="">
      <xdr:nvSpPr>
        <xdr:cNvPr id="16" name="Rectangle à coins arrondis 2">
          <a:hlinkClick xmlns:r="http://schemas.openxmlformats.org/officeDocument/2006/relationships" r:id="rId6" tooltip="Certification stage checklist"/>
        </xdr:cNvPr>
        <xdr:cNvSpPr>
          <a:spLocks noChangeArrowheads="1"/>
        </xdr:cNvSpPr>
      </xdr:nvSpPr>
      <xdr:spPr bwMode="auto">
        <a:xfrm>
          <a:off x="8164125" y="6019800"/>
          <a:ext cx="1980000" cy="34095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Certification stage checklist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914398</xdr:colOff>
      <xdr:row>24</xdr:row>
      <xdr:rowOff>0</xdr:rowOff>
    </xdr:from>
    <xdr:to>
      <xdr:col>7</xdr:col>
      <xdr:colOff>190499</xdr:colOff>
      <xdr:row>25</xdr:row>
      <xdr:rowOff>114450</xdr:rowOff>
    </xdr:to>
    <xdr:sp macro="" textlink="">
      <xdr:nvSpPr>
        <xdr:cNvPr id="3" name="Rectangle à coins arrondis 2">
          <a:hlinkClick xmlns:r="http://schemas.openxmlformats.org/officeDocument/2006/relationships" r:id="rId1" tooltip="Resources"/>
        </xdr:cNvPr>
        <xdr:cNvSpPr>
          <a:spLocks noChangeArrowheads="1"/>
        </xdr:cNvSpPr>
      </xdr:nvSpPr>
      <xdr:spPr bwMode="auto">
        <a:xfrm>
          <a:off x="4448173" y="2257425"/>
          <a:ext cx="2952751" cy="3240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illustrations on master plan </a:t>
          </a:r>
        </a:p>
      </xdr:txBody>
    </xdr:sp>
    <xdr:clientData/>
  </xdr:twoCellAnchor>
  <xdr:twoCellAnchor>
    <xdr:from>
      <xdr:col>8</xdr:col>
      <xdr:colOff>762001</xdr:colOff>
      <xdr:row>0</xdr:row>
      <xdr:rowOff>76200</xdr:rowOff>
    </xdr:from>
    <xdr:to>
      <xdr:col>9</xdr:col>
      <xdr:colOff>727576</xdr:colOff>
      <xdr:row>0</xdr:row>
      <xdr:rowOff>364200</xdr:rowOff>
    </xdr:to>
    <xdr:sp macro="" textlink="">
      <xdr:nvSpPr>
        <xdr:cNvPr id="8" name="Rectangle à coins arrondis 2">
          <a:hlinkClick xmlns:r="http://schemas.openxmlformats.org/officeDocument/2006/relationships" r:id="rId2" tooltip="Scorecard"/>
        </xdr:cNvPr>
        <xdr:cNvSpPr>
          <a:spLocks noChangeArrowheads="1"/>
        </xdr:cNvSpPr>
      </xdr:nvSpPr>
      <xdr:spPr bwMode="auto">
        <a:xfrm>
          <a:off x="9077326" y="7620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7</xdr:col>
      <xdr:colOff>663049</xdr:colOff>
      <xdr:row>0</xdr:row>
      <xdr:rowOff>76200</xdr:rowOff>
    </xdr:from>
    <xdr:to>
      <xdr:col>8</xdr:col>
      <xdr:colOff>638149</xdr:colOff>
      <xdr:row>0</xdr:row>
      <xdr:rowOff>364200</xdr:rowOff>
    </xdr:to>
    <xdr:sp macro="" textlink="">
      <xdr:nvSpPr>
        <xdr:cNvPr id="9" name="Rectangle à coins arrondis 2">
          <a:hlinkClick xmlns:r="http://schemas.openxmlformats.org/officeDocument/2006/relationships" r:id="rId3" tooltip="Instructions"/>
        </xdr:cNvPr>
        <xdr:cNvSpPr>
          <a:spLocks noChangeArrowheads="1"/>
        </xdr:cNvSpPr>
      </xdr:nvSpPr>
      <xdr:spPr bwMode="auto">
        <a:xfrm>
          <a:off x="7873474" y="7620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6</xdr:col>
      <xdr:colOff>561975</xdr:colOff>
      <xdr:row>0</xdr:row>
      <xdr:rowOff>76200</xdr:rowOff>
    </xdr:from>
    <xdr:to>
      <xdr:col>7</xdr:col>
      <xdr:colOff>537075</xdr:colOff>
      <xdr:row>0</xdr:row>
      <xdr:rowOff>364200</xdr:rowOff>
    </xdr:to>
    <xdr:sp macro="" textlink="">
      <xdr:nvSpPr>
        <xdr:cNvPr id="10" name="Rectangle à coins arrondis 2">
          <a:hlinkClick xmlns:r="http://schemas.openxmlformats.org/officeDocument/2006/relationships" r:id="rId4" tooltip="Introduction"/>
        </xdr:cNvPr>
        <xdr:cNvSpPr>
          <a:spLocks noChangeArrowheads="1"/>
        </xdr:cNvSpPr>
      </xdr:nvSpPr>
      <xdr:spPr bwMode="auto">
        <a:xfrm>
          <a:off x="6667500" y="76200"/>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twoCellAnchor editAs="oneCell">
    <xdr:from>
      <xdr:col>0</xdr:col>
      <xdr:colOff>161925</xdr:colOff>
      <xdr:row>1</xdr:row>
      <xdr:rowOff>57150</xdr:rowOff>
    </xdr:from>
    <xdr:to>
      <xdr:col>1</xdr:col>
      <xdr:colOff>281700</xdr:colOff>
      <xdr:row>2</xdr:row>
      <xdr:rowOff>205500</xdr:rowOff>
    </xdr:to>
    <xdr:pic>
      <xdr:nvPicPr>
        <xdr:cNvPr id="7" name="Picture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1925" y="476250"/>
          <a:ext cx="396000" cy="39600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14</xdr:col>
      <xdr:colOff>142875</xdr:colOff>
      <xdr:row>159</xdr:row>
      <xdr:rowOff>47625</xdr:rowOff>
    </xdr:from>
    <xdr:to>
      <xdr:col>17</xdr:col>
      <xdr:colOff>543675</xdr:colOff>
      <xdr:row>160</xdr:row>
      <xdr:rowOff>95400</xdr:rowOff>
    </xdr:to>
    <xdr:sp macro="" textlink="">
      <xdr:nvSpPr>
        <xdr:cNvPr id="3" name="Rectangle à coins arrondis 2">
          <a:hlinkClick xmlns:r="http://schemas.openxmlformats.org/officeDocument/2006/relationships" r:id="rId1" tooltip="LE-5"/>
        </xdr:cNvPr>
        <xdr:cNvSpPr>
          <a:spLocks noChangeArrowheads="1"/>
        </xdr:cNvSpPr>
      </xdr:nvSpPr>
      <xdr:spPr bwMode="auto">
        <a:xfrm>
          <a:off x="8477250" y="15297150"/>
          <a:ext cx="162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LE-5 </a:t>
          </a:r>
        </a:p>
      </xdr:txBody>
    </xdr:sp>
    <xdr:clientData/>
  </xdr:twoCellAnchor>
  <xdr:twoCellAnchor editAs="oneCell">
    <xdr:from>
      <xdr:col>1</xdr:col>
      <xdr:colOff>304800</xdr:colOff>
      <xdr:row>104</xdr:row>
      <xdr:rowOff>57150</xdr:rowOff>
    </xdr:from>
    <xdr:to>
      <xdr:col>12</xdr:col>
      <xdr:colOff>438150</xdr:colOff>
      <xdr:row>131</xdr:row>
      <xdr:rowOff>142875</xdr:rowOff>
    </xdr:to>
    <xdr:pic>
      <xdr:nvPicPr>
        <xdr:cNvPr id="4"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1025" y="9591675"/>
          <a:ext cx="7686675" cy="5229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190500</xdr:colOff>
      <xdr:row>102</xdr:row>
      <xdr:rowOff>47625</xdr:rowOff>
    </xdr:from>
    <xdr:to>
      <xdr:col>17</xdr:col>
      <xdr:colOff>591300</xdr:colOff>
      <xdr:row>103</xdr:row>
      <xdr:rowOff>95400</xdr:rowOff>
    </xdr:to>
    <xdr:sp macro="" textlink="">
      <xdr:nvSpPr>
        <xdr:cNvPr id="5" name="Rectangle à coins arrondis 2">
          <a:hlinkClick xmlns:r="http://schemas.openxmlformats.org/officeDocument/2006/relationships" r:id="rId3" tooltip="LE-2"/>
        </xdr:cNvPr>
        <xdr:cNvSpPr>
          <a:spLocks noChangeArrowheads="1"/>
        </xdr:cNvSpPr>
      </xdr:nvSpPr>
      <xdr:spPr bwMode="auto">
        <a:xfrm>
          <a:off x="8524875" y="9115425"/>
          <a:ext cx="16200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LE-2 </a:t>
          </a:r>
        </a:p>
      </xdr:txBody>
    </xdr:sp>
    <xdr:clientData/>
  </xdr:twoCellAnchor>
  <xdr:twoCellAnchor>
    <xdr:from>
      <xdr:col>14</xdr:col>
      <xdr:colOff>542925</xdr:colOff>
      <xdr:row>61</xdr:row>
      <xdr:rowOff>47625</xdr:rowOff>
    </xdr:from>
    <xdr:to>
      <xdr:col>17</xdr:col>
      <xdr:colOff>514125</xdr:colOff>
      <xdr:row>62</xdr:row>
      <xdr:rowOff>104925</xdr:rowOff>
    </xdr:to>
    <xdr:sp macro="" textlink="">
      <xdr:nvSpPr>
        <xdr:cNvPr id="11" name="Rectangle à coins arrondis 2">
          <a:hlinkClick xmlns:r="http://schemas.openxmlformats.org/officeDocument/2006/relationships" r:id="rId4" tooltip="W-2"/>
        </xdr:cNvPr>
        <xdr:cNvSpPr>
          <a:spLocks noChangeArrowheads="1"/>
        </xdr:cNvSpPr>
      </xdr:nvSpPr>
      <xdr:spPr bwMode="auto">
        <a:xfrm>
          <a:off x="8915400" y="7058025"/>
          <a:ext cx="1800000" cy="324000"/>
        </a:xfrm>
        <a:prstGeom prst="roundRect">
          <a:avLst>
            <a:gd name="adj" fmla="val 16667"/>
          </a:avLst>
        </a:prstGeom>
        <a:solidFill>
          <a:srgbClr val="0070C0"/>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W-2</a:t>
          </a:r>
        </a:p>
      </xdr:txBody>
    </xdr:sp>
    <xdr:clientData/>
  </xdr:twoCellAnchor>
  <xdr:twoCellAnchor editAs="oneCell">
    <xdr:from>
      <xdr:col>6</xdr:col>
      <xdr:colOff>495935</xdr:colOff>
      <xdr:row>79</xdr:row>
      <xdr:rowOff>104775</xdr:rowOff>
    </xdr:from>
    <xdr:to>
      <xdr:col>15</xdr:col>
      <xdr:colOff>333375</xdr:colOff>
      <xdr:row>90</xdr:row>
      <xdr:rowOff>169275</xdr:rowOff>
    </xdr:to>
    <xdr:pic>
      <xdr:nvPicPr>
        <xdr:cNvPr id="15" name="Picture 14" descr="H3-Daylight Control.jpg"/>
        <xdr:cNvPicPr/>
      </xdr:nvPicPr>
      <xdr:blipFill>
        <a:blip xmlns:r="http://schemas.openxmlformats.org/officeDocument/2006/relationships" r:embed="rId5" cstate="print"/>
        <a:stretch>
          <a:fillRect/>
        </a:stretch>
      </xdr:blipFill>
      <xdr:spPr>
        <a:xfrm>
          <a:off x="3991610" y="9867900"/>
          <a:ext cx="5781040" cy="2160000"/>
        </a:xfrm>
        <a:prstGeom prst="rect">
          <a:avLst/>
        </a:prstGeom>
      </xdr:spPr>
    </xdr:pic>
    <xdr:clientData/>
  </xdr:twoCellAnchor>
  <xdr:twoCellAnchor>
    <xdr:from>
      <xdr:col>14</xdr:col>
      <xdr:colOff>161925</xdr:colOff>
      <xdr:row>76</xdr:row>
      <xdr:rowOff>38100</xdr:rowOff>
    </xdr:from>
    <xdr:to>
      <xdr:col>17</xdr:col>
      <xdr:colOff>562725</xdr:colOff>
      <xdr:row>77</xdr:row>
      <xdr:rowOff>85875</xdr:rowOff>
    </xdr:to>
    <xdr:sp macro="" textlink="">
      <xdr:nvSpPr>
        <xdr:cNvPr id="16" name="Rectangle à coins arrondis 2">
          <a:hlinkClick xmlns:r="http://schemas.openxmlformats.org/officeDocument/2006/relationships" r:id="rId6" tooltip="H-4"/>
        </xdr:cNvPr>
        <xdr:cNvSpPr>
          <a:spLocks noChangeArrowheads="1"/>
        </xdr:cNvSpPr>
      </xdr:nvSpPr>
      <xdr:spPr bwMode="auto">
        <a:xfrm>
          <a:off x="8496300" y="9105900"/>
          <a:ext cx="1620000" cy="324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H-4</a:t>
          </a:r>
        </a:p>
      </xdr:txBody>
    </xdr:sp>
    <xdr:clientData/>
  </xdr:twoCellAnchor>
  <xdr:twoCellAnchor>
    <xdr:from>
      <xdr:col>15</xdr:col>
      <xdr:colOff>571501</xdr:colOff>
      <xdr:row>0</xdr:row>
      <xdr:rowOff>47625</xdr:rowOff>
    </xdr:from>
    <xdr:to>
      <xdr:col>17</xdr:col>
      <xdr:colOff>432301</xdr:colOff>
      <xdr:row>0</xdr:row>
      <xdr:rowOff>335625</xdr:rowOff>
    </xdr:to>
    <xdr:sp macro="" textlink="">
      <xdr:nvSpPr>
        <xdr:cNvPr id="14" name="Rectangle à coins arrondis 2">
          <a:hlinkClick xmlns:r="http://schemas.openxmlformats.org/officeDocument/2006/relationships" r:id="rId7" tooltip="Scorecard"/>
        </xdr:cNvPr>
        <xdr:cNvSpPr>
          <a:spLocks noChangeArrowheads="1"/>
        </xdr:cNvSpPr>
      </xdr:nvSpPr>
      <xdr:spPr bwMode="auto">
        <a:xfrm>
          <a:off x="9553576"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13</xdr:col>
      <xdr:colOff>586849</xdr:colOff>
      <xdr:row>0</xdr:row>
      <xdr:rowOff>47625</xdr:rowOff>
    </xdr:from>
    <xdr:to>
      <xdr:col>15</xdr:col>
      <xdr:colOff>447649</xdr:colOff>
      <xdr:row>0</xdr:row>
      <xdr:rowOff>335625</xdr:rowOff>
    </xdr:to>
    <xdr:sp macro="" textlink="">
      <xdr:nvSpPr>
        <xdr:cNvPr id="17" name="Rectangle à coins arrondis 2">
          <a:hlinkClick xmlns:r="http://schemas.openxmlformats.org/officeDocument/2006/relationships" r:id="rId8" tooltip="Instructions"/>
        </xdr:cNvPr>
        <xdr:cNvSpPr>
          <a:spLocks noChangeArrowheads="1"/>
        </xdr:cNvSpPr>
      </xdr:nvSpPr>
      <xdr:spPr bwMode="auto">
        <a:xfrm>
          <a:off x="8349724"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11</xdr:col>
      <xdr:colOff>600075</xdr:colOff>
      <xdr:row>0</xdr:row>
      <xdr:rowOff>47625</xdr:rowOff>
    </xdr:from>
    <xdr:to>
      <xdr:col>13</xdr:col>
      <xdr:colOff>460875</xdr:colOff>
      <xdr:row>0</xdr:row>
      <xdr:rowOff>335625</xdr:rowOff>
    </xdr:to>
    <xdr:sp macro="" textlink="">
      <xdr:nvSpPr>
        <xdr:cNvPr id="18" name="Rectangle à coins arrondis 2">
          <a:hlinkClick xmlns:r="http://schemas.openxmlformats.org/officeDocument/2006/relationships" r:id="rId9" tooltip="Introduction"/>
        </xdr:cNvPr>
        <xdr:cNvSpPr>
          <a:spLocks noChangeArrowheads="1"/>
        </xdr:cNvSpPr>
      </xdr:nvSpPr>
      <xdr:spPr bwMode="auto">
        <a:xfrm>
          <a:off x="7143750"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twoCellAnchor>
    <xdr:from>
      <xdr:col>14</xdr:col>
      <xdr:colOff>457200</xdr:colOff>
      <xdr:row>2</xdr:row>
      <xdr:rowOff>0</xdr:rowOff>
    </xdr:from>
    <xdr:to>
      <xdr:col>17</xdr:col>
      <xdr:colOff>428400</xdr:colOff>
      <xdr:row>3</xdr:row>
      <xdr:rowOff>57300</xdr:rowOff>
    </xdr:to>
    <xdr:sp macro="" textlink="">
      <xdr:nvSpPr>
        <xdr:cNvPr id="20" name="Rectangle à coins arrondis 2">
          <a:hlinkClick xmlns:r="http://schemas.openxmlformats.org/officeDocument/2006/relationships" r:id="rId10" tooltip="E-2"/>
        </xdr:cNvPr>
        <xdr:cNvSpPr>
          <a:spLocks noChangeArrowheads="1"/>
        </xdr:cNvSpPr>
      </xdr:nvSpPr>
      <xdr:spPr bwMode="auto">
        <a:xfrm>
          <a:off x="8829675" y="609600"/>
          <a:ext cx="1800000" cy="324000"/>
        </a:xfrm>
        <a:prstGeom prst="roundRect">
          <a:avLst>
            <a:gd name="adj" fmla="val 16667"/>
          </a:avLst>
        </a:prstGeom>
        <a:solidFill>
          <a:srgbClr val="58B5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E-2</a:t>
          </a:r>
        </a:p>
      </xdr:txBody>
    </xdr:sp>
    <xdr:clientData/>
  </xdr:twoCellAnchor>
  <xdr:twoCellAnchor editAs="oneCell">
    <xdr:from>
      <xdr:col>2</xdr:col>
      <xdr:colOff>447675</xdr:colOff>
      <xdr:row>28</xdr:row>
      <xdr:rowOff>95250</xdr:rowOff>
    </xdr:from>
    <xdr:to>
      <xdr:col>4</xdr:col>
      <xdr:colOff>492604</xdr:colOff>
      <xdr:row>38</xdr:row>
      <xdr:rowOff>42333</xdr:rowOff>
    </xdr:to>
    <xdr:pic>
      <xdr:nvPicPr>
        <xdr:cNvPr id="21" name="Picture 2"/>
        <xdr:cNvPicPr>
          <a:picLocks noChangeAspect="1" noChangeArrowheads="1"/>
        </xdr:cNvPicPr>
      </xdr:nvPicPr>
      <xdr:blipFill rotWithShape="1">
        <a:blip xmlns:r="http://schemas.openxmlformats.org/officeDocument/2006/relationships" r:embed="rId11" cstate="print"/>
        <a:srcRect t="-1" r="76092" b="-527"/>
        <a:stretch/>
      </xdr:blipFill>
      <xdr:spPr bwMode="auto">
        <a:xfrm>
          <a:off x="1466850" y="5200650"/>
          <a:ext cx="1387954" cy="1852083"/>
        </a:xfrm>
        <a:prstGeom prst="rect">
          <a:avLst/>
        </a:prstGeom>
        <a:noFill/>
      </xdr:spPr>
    </xdr:pic>
    <xdr:clientData/>
  </xdr:twoCellAnchor>
  <xdr:twoCellAnchor editAs="oneCell">
    <xdr:from>
      <xdr:col>9</xdr:col>
      <xdr:colOff>495300</xdr:colOff>
      <xdr:row>29</xdr:row>
      <xdr:rowOff>85725</xdr:rowOff>
    </xdr:from>
    <xdr:to>
      <xdr:col>15</xdr:col>
      <xdr:colOff>578332</xdr:colOff>
      <xdr:row>37</xdr:row>
      <xdr:rowOff>150091</xdr:rowOff>
    </xdr:to>
    <xdr:pic>
      <xdr:nvPicPr>
        <xdr:cNvPr id="23" name="Picture 2"/>
        <xdr:cNvPicPr>
          <a:picLocks noChangeAspect="1" noChangeArrowheads="1"/>
        </xdr:cNvPicPr>
      </xdr:nvPicPr>
      <xdr:blipFill rotWithShape="1">
        <a:blip xmlns:r="http://schemas.openxmlformats.org/officeDocument/2006/relationships" r:embed="rId11" cstate="print"/>
        <a:srcRect l="29168" t="13787"/>
        <a:stretch/>
      </xdr:blipFill>
      <xdr:spPr bwMode="auto">
        <a:xfrm>
          <a:off x="5819775" y="5381625"/>
          <a:ext cx="4112107" cy="1588366"/>
        </a:xfrm>
        <a:prstGeom prst="rect">
          <a:avLst/>
        </a:prstGeom>
        <a:noFill/>
      </xdr:spPr>
    </xdr:pic>
    <xdr:clientData/>
  </xdr:twoCellAnchor>
  <xdr:twoCellAnchor>
    <xdr:from>
      <xdr:col>14</xdr:col>
      <xdr:colOff>0</xdr:colOff>
      <xdr:row>133</xdr:row>
      <xdr:rowOff>47625</xdr:rowOff>
    </xdr:from>
    <xdr:to>
      <xdr:col>17</xdr:col>
      <xdr:colOff>400800</xdr:colOff>
      <xdr:row>134</xdr:row>
      <xdr:rowOff>95400</xdr:rowOff>
    </xdr:to>
    <xdr:sp macro="" textlink="">
      <xdr:nvSpPr>
        <xdr:cNvPr id="19" name="Rectangle à coins arrondis 2">
          <a:hlinkClick xmlns:r="http://schemas.openxmlformats.org/officeDocument/2006/relationships" r:id="rId12" tooltip="LE-4"/>
        </xdr:cNvPr>
        <xdr:cNvSpPr>
          <a:spLocks noChangeArrowheads="1"/>
        </xdr:cNvSpPr>
      </xdr:nvSpPr>
      <xdr:spPr bwMode="auto">
        <a:xfrm>
          <a:off x="8372475" y="22336125"/>
          <a:ext cx="2229600" cy="324000"/>
        </a:xfrm>
        <a:prstGeom prst="roundRect">
          <a:avLst>
            <a:gd name="adj" fmla="val 16667"/>
          </a:avLst>
        </a:prstGeom>
        <a:solidFill>
          <a:srgbClr val="76923C"/>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LE-4 </a:t>
          </a:r>
        </a:p>
      </xdr:txBody>
    </xdr:sp>
    <xdr:clientData/>
  </xdr:twoCellAnchor>
  <xdr:twoCellAnchor>
    <xdr:from>
      <xdr:col>11</xdr:col>
      <xdr:colOff>342900</xdr:colOff>
      <xdr:row>1</xdr:row>
      <xdr:rowOff>219075</xdr:rowOff>
    </xdr:from>
    <xdr:to>
      <xdr:col>14</xdr:col>
      <xdr:colOff>314100</xdr:colOff>
      <xdr:row>3</xdr:row>
      <xdr:rowOff>47775</xdr:rowOff>
    </xdr:to>
    <xdr:sp macro="" textlink="">
      <xdr:nvSpPr>
        <xdr:cNvPr id="22" name="Rectangle à coins arrondis 2">
          <a:hlinkClick xmlns:r="http://schemas.openxmlformats.org/officeDocument/2006/relationships" r:id="rId13" tooltip="E-1"/>
        </xdr:cNvPr>
        <xdr:cNvSpPr>
          <a:spLocks noChangeArrowheads="1"/>
        </xdr:cNvSpPr>
      </xdr:nvSpPr>
      <xdr:spPr bwMode="auto">
        <a:xfrm>
          <a:off x="7562850" y="600075"/>
          <a:ext cx="1800000" cy="324000"/>
        </a:xfrm>
        <a:prstGeom prst="roundRect">
          <a:avLst>
            <a:gd name="adj" fmla="val 16667"/>
          </a:avLst>
        </a:prstGeom>
        <a:solidFill>
          <a:srgbClr val="58B527"/>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Go to credit E-1</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4</xdr:col>
      <xdr:colOff>619125</xdr:colOff>
      <xdr:row>141</xdr:row>
      <xdr:rowOff>161925</xdr:rowOff>
    </xdr:from>
    <xdr:to>
      <xdr:col>7</xdr:col>
      <xdr:colOff>114300</xdr:colOff>
      <xdr:row>143</xdr:row>
      <xdr:rowOff>190500</xdr:rowOff>
    </xdr:to>
    <xdr:pic>
      <xdr:nvPicPr>
        <xdr:cNvPr id="2" name="Picture 1"/>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924300" y="27308175"/>
          <a:ext cx="17811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190500</xdr:colOff>
          <xdr:row>35</xdr:row>
          <xdr:rowOff>171450</xdr:rowOff>
        </xdr:from>
        <xdr:to>
          <xdr:col>4</xdr:col>
          <xdr:colOff>495300</xdr:colOff>
          <xdr:row>37</xdr:row>
          <xdr:rowOff>0</xdr:rowOff>
        </xdr:to>
        <xdr:sp macro="" textlink="">
          <xdr:nvSpPr>
            <xdr:cNvPr id="167937" name="Check Box 1" hidden="1">
              <a:extLst>
                <a:ext uri="{63B3BB69-23CF-44E3-9099-C40C66FF867C}">
                  <a14:compatExt spid="_x0000_s1679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37</xdr:row>
          <xdr:rowOff>0</xdr:rowOff>
        </xdr:from>
        <xdr:to>
          <xdr:col>4</xdr:col>
          <xdr:colOff>495300</xdr:colOff>
          <xdr:row>38</xdr:row>
          <xdr:rowOff>19050</xdr:rowOff>
        </xdr:to>
        <xdr:sp macro="" textlink="">
          <xdr:nvSpPr>
            <xdr:cNvPr id="167939" name="Check Box 3" hidden="1">
              <a:extLst>
                <a:ext uri="{63B3BB69-23CF-44E3-9099-C40C66FF867C}">
                  <a14:compatExt spid="_x0000_s1679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35</xdr:row>
          <xdr:rowOff>171450</xdr:rowOff>
        </xdr:from>
        <xdr:to>
          <xdr:col>9</xdr:col>
          <xdr:colOff>495300</xdr:colOff>
          <xdr:row>37</xdr:row>
          <xdr:rowOff>0</xdr:rowOff>
        </xdr:to>
        <xdr:sp macro="" textlink="">
          <xdr:nvSpPr>
            <xdr:cNvPr id="167943" name="Check Box 7" hidden="1">
              <a:extLst>
                <a:ext uri="{63B3BB69-23CF-44E3-9099-C40C66FF867C}">
                  <a14:compatExt spid="_x0000_s1679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37</xdr:row>
          <xdr:rowOff>0</xdr:rowOff>
        </xdr:from>
        <xdr:to>
          <xdr:col>9</xdr:col>
          <xdr:colOff>495300</xdr:colOff>
          <xdr:row>38</xdr:row>
          <xdr:rowOff>19050</xdr:rowOff>
        </xdr:to>
        <xdr:sp macro="" textlink="">
          <xdr:nvSpPr>
            <xdr:cNvPr id="167944" name="Check Box 8" hidden="1">
              <a:extLst>
                <a:ext uri="{63B3BB69-23CF-44E3-9099-C40C66FF867C}">
                  <a14:compatExt spid="_x0000_s1679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27</xdr:row>
          <xdr:rowOff>171450</xdr:rowOff>
        </xdr:from>
        <xdr:to>
          <xdr:col>4</xdr:col>
          <xdr:colOff>495300</xdr:colOff>
          <xdr:row>29</xdr:row>
          <xdr:rowOff>9525</xdr:rowOff>
        </xdr:to>
        <xdr:sp macro="" textlink="">
          <xdr:nvSpPr>
            <xdr:cNvPr id="167947" name="Check Box 11" hidden="1">
              <a:extLst>
                <a:ext uri="{63B3BB69-23CF-44E3-9099-C40C66FF867C}">
                  <a14:compatExt spid="_x0000_s167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27</xdr:row>
          <xdr:rowOff>171450</xdr:rowOff>
        </xdr:from>
        <xdr:to>
          <xdr:col>9</xdr:col>
          <xdr:colOff>495300</xdr:colOff>
          <xdr:row>29</xdr:row>
          <xdr:rowOff>9525</xdr:rowOff>
        </xdr:to>
        <xdr:sp macro="" textlink="">
          <xdr:nvSpPr>
            <xdr:cNvPr id="167948" name="Check Box 12" hidden="1">
              <a:extLst>
                <a:ext uri="{63B3BB69-23CF-44E3-9099-C40C66FF867C}">
                  <a14:compatExt spid="_x0000_s167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xdr:row>
          <xdr:rowOff>171450</xdr:rowOff>
        </xdr:from>
        <xdr:to>
          <xdr:col>4</xdr:col>
          <xdr:colOff>495300</xdr:colOff>
          <xdr:row>19</xdr:row>
          <xdr:rowOff>9525</xdr:rowOff>
        </xdr:to>
        <xdr:sp macro="" textlink="">
          <xdr:nvSpPr>
            <xdr:cNvPr id="167953" name="Check Box 17" hidden="1">
              <a:extLst>
                <a:ext uri="{63B3BB69-23CF-44E3-9099-C40C66FF867C}">
                  <a14:compatExt spid="_x0000_s167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17</xdr:row>
          <xdr:rowOff>171450</xdr:rowOff>
        </xdr:from>
        <xdr:to>
          <xdr:col>9</xdr:col>
          <xdr:colOff>495300</xdr:colOff>
          <xdr:row>19</xdr:row>
          <xdr:rowOff>9525</xdr:rowOff>
        </xdr:to>
        <xdr:sp macro="" textlink="">
          <xdr:nvSpPr>
            <xdr:cNvPr id="167954" name="Check Box 18" hidden="1">
              <a:extLst>
                <a:ext uri="{63B3BB69-23CF-44E3-9099-C40C66FF867C}">
                  <a14:compatExt spid="_x0000_s167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20</xdr:row>
          <xdr:rowOff>171450</xdr:rowOff>
        </xdr:from>
        <xdr:to>
          <xdr:col>4</xdr:col>
          <xdr:colOff>495300</xdr:colOff>
          <xdr:row>22</xdr:row>
          <xdr:rowOff>9525</xdr:rowOff>
        </xdr:to>
        <xdr:sp macro="" textlink="">
          <xdr:nvSpPr>
            <xdr:cNvPr id="167955" name="Check Box 19" hidden="1">
              <a:extLst>
                <a:ext uri="{63B3BB69-23CF-44E3-9099-C40C66FF867C}">
                  <a14:compatExt spid="_x0000_s167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20</xdr:row>
          <xdr:rowOff>171450</xdr:rowOff>
        </xdr:from>
        <xdr:to>
          <xdr:col>9</xdr:col>
          <xdr:colOff>495300</xdr:colOff>
          <xdr:row>22</xdr:row>
          <xdr:rowOff>9525</xdr:rowOff>
        </xdr:to>
        <xdr:sp macro="" textlink="">
          <xdr:nvSpPr>
            <xdr:cNvPr id="167956" name="Check Box 20" hidden="1">
              <a:extLst>
                <a:ext uri="{63B3BB69-23CF-44E3-9099-C40C66FF867C}">
                  <a14:compatExt spid="_x0000_s167956"/>
                </a:ext>
              </a:extLst>
            </xdr:cNvPr>
            <xdr:cNvSpPr/>
          </xdr:nvSpPr>
          <xdr:spPr>
            <a:xfrm>
              <a:off x="0" y="0"/>
              <a:ext cx="0" cy="0"/>
            </a:xfrm>
            <a:prstGeom prst="rect">
              <a:avLst/>
            </a:prstGeom>
          </xdr:spPr>
        </xdr:sp>
        <xdr:clientData/>
      </xdr:twoCellAnchor>
    </mc:Choice>
    <mc:Fallback/>
  </mc:AlternateContent>
  <xdr:twoCellAnchor>
    <xdr:from>
      <xdr:col>10</xdr:col>
      <xdr:colOff>1095375</xdr:colOff>
      <xdr:row>11</xdr:row>
      <xdr:rowOff>66675</xdr:rowOff>
    </xdr:from>
    <xdr:to>
      <xdr:col>11</xdr:col>
      <xdr:colOff>1285875</xdr:colOff>
      <xdr:row>13</xdr:row>
      <xdr:rowOff>74250</xdr:rowOff>
    </xdr:to>
    <xdr:sp macro="" textlink="">
      <xdr:nvSpPr>
        <xdr:cNvPr id="18" name="Rectangle à coins arrondis 2">
          <a:hlinkClick xmlns:r="http://schemas.openxmlformats.org/officeDocument/2006/relationships" r:id="rId1" tooltip="Example"/>
        </xdr:cNvPr>
        <xdr:cNvSpPr>
          <a:spLocks noChangeArrowheads="1"/>
        </xdr:cNvSpPr>
      </xdr:nvSpPr>
      <xdr:spPr bwMode="auto">
        <a:xfrm>
          <a:off x="6829425" y="1971675"/>
          <a:ext cx="1609725" cy="360000"/>
        </a:xfrm>
        <a:prstGeom prst="roundRect">
          <a:avLst>
            <a:gd name="adj" fmla="val 16667"/>
          </a:avLst>
        </a:prstGeom>
        <a:solidFill>
          <a:srgbClr val="943634"/>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chemeClr val="bg1"/>
              </a:solidFill>
              <a:latin typeface="Arial" panose="020B0604020202020204" pitchFamily="34" charset="0"/>
              <a:cs typeface="Arial" panose="020B0604020202020204" pitchFamily="34" charset="0"/>
            </a:rPr>
            <a:t>Example</a:t>
          </a:r>
        </a:p>
      </xdr:txBody>
    </xdr:sp>
    <xdr:clientData/>
  </xdr:twoCellAnchor>
  <xdr:twoCellAnchor>
    <xdr:from>
      <xdr:col>13</xdr:col>
      <xdr:colOff>853575</xdr:colOff>
      <xdr:row>0</xdr:row>
      <xdr:rowOff>28575</xdr:rowOff>
    </xdr:from>
    <xdr:to>
      <xdr:col>14</xdr:col>
      <xdr:colOff>514350</xdr:colOff>
      <xdr:row>0</xdr:row>
      <xdr:rowOff>316575</xdr:rowOff>
    </xdr:to>
    <xdr:sp macro="" textlink="">
      <xdr:nvSpPr>
        <xdr:cNvPr id="14" name="Rectangle à coins arrondis 2">
          <a:hlinkClick xmlns:r="http://schemas.openxmlformats.org/officeDocument/2006/relationships" r:id="rId2" tooltip="Scorecard"/>
        </xdr:cNvPr>
        <xdr:cNvSpPr>
          <a:spLocks noChangeArrowheads="1"/>
        </xdr:cNvSpPr>
      </xdr:nvSpPr>
      <xdr:spPr bwMode="auto">
        <a:xfrm>
          <a:off x="10845300" y="2857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12</xdr:col>
      <xdr:colOff>1110724</xdr:colOff>
      <xdr:row>0</xdr:row>
      <xdr:rowOff>28575</xdr:rowOff>
    </xdr:from>
    <xdr:to>
      <xdr:col>13</xdr:col>
      <xdr:colOff>771499</xdr:colOff>
      <xdr:row>0</xdr:row>
      <xdr:rowOff>316575</xdr:rowOff>
    </xdr:to>
    <xdr:sp macro="" textlink="">
      <xdr:nvSpPr>
        <xdr:cNvPr id="15" name="Rectangle à coins arrondis 2">
          <a:hlinkClick xmlns:r="http://schemas.openxmlformats.org/officeDocument/2006/relationships" r:id="rId3" tooltip="Instructions"/>
        </xdr:cNvPr>
        <xdr:cNvSpPr>
          <a:spLocks noChangeArrowheads="1"/>
        </xdr:cNvSpPr>
      </xdr:nvSpPr>
      <xdr:spPr bwMode="auto">
        <a:xfrm>
          <a:off x="9683224" y="2857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11</xdr:col>
      <xdr:colOff>1323975</xdr:colOff>
      <xdr:row>0</xdr:row>
      <xdr:rowOff>28575</xdr:rowOff>
    </xdr:from>
    <xdr:to>
      <xdr:col>12</xdr:col>
      <xdr:colOff>984750</xdr:colOff>
      <xdr:row>0</xdr:row>
      <xdr:rowOff>316575</xdr:rowOff>
    </xdr:to>
    <xdr:sp macro="" textlink="">
      <xdr:nvSpPr>
        <xdr:cNvPr id="16" name="Rectangle à coins arrondis 2">
          <a:hlinkClick xmlns:r="http://schemas.openxmlformats.org/officeDocument/2006/relationships" r:id="rId4" tooltip="Introduction"/>
        </xdr:cNvPr>
        <xdr:cNvSpPr>
          <a:spLocks noChangeArrowheads="1"/>
        </xdr:cNvSpPr>
      </xdr:nvSpPr>
      <xdr:spPr bwMode="auto">
        <a:xfrm>
          <a:off x="8477250" y="2857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9525</xdr:colOff>
      <xdr:row>0</xdr:row>
      <xdr:rowOff>0</xdr:rowOff>
    </xdr:from>
    <xdr:to>
      <xdr:col>7</xdr:col>
      <xdr:colOff>156075</xdr:colOff>
      <xdr:row>2</xdr:row>
      <xdr:rowOff>52018</xdr:rowOff>
    </xdr:to>
    <xdr:pic>
      <xdr:nvPicPr>
        <xdr:cNvPr id="2" name="Picture 1" descr="\\VGBC_NAS\VGBC_Network\VGBC Shared\Admin and Communication\Artwork\VGBC Artwork Guidelines\VGBC Artwork Guideline Images\VGBC Logo\VGBC_logo_trans.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015" r="3298"/>
        <a:stretch/>
      </xdr:blipFill>
      <xdr:spPr bwMode="auto">
        <a:xfrm>
          <a:off x="4476750" y="0"/>
          <a:ext cx="1080000" cy="89021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1</xdr:row>
      <xdr:rowOff>38100</xdr:rowOff>
    </xdr:from>
    <xdr:to>
      <xdr:col>1</xdr:col>
      <xdr:colOff>388575</xdr:colOff>
      <xdr:row>2</xdr:row>
      <xdr:rowOff>169500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381000"/>
          <a:ext cx="360000" cy="360000"/>
        </a:xfrm>
        <a:prstGeom prst="rect">
          <a:avLst/>
        </a:prstGeom>
      </xdr:spPr>
    </xdr:pic>
    <xdr:clientData/>
  </xdr:twoCellAnchor>
  <xdr:twoCellAnchor>
    <xdr:from>
      <xdr:col>13</xdr:col>
      <xdr:colOff>28576</xdr:colOff>
      <xdr:row>0</xdr:row>
      <xdr:rowOff>47625</xdr:rowOff>
    </xdr:from>
    <xdr:to>
      <xdr:col>14</xdr:col>
      <xdr:colOff>498976</xdr:colOff>
      <xdr:row>0</xdr:row>
      <xdr:rowOff>335625</xdr:rowOff>
    </xdr:to>
    <xdr:sp macro="" textlink="">
      <xdr:nvSpPr>
        <xdr:cNvPr id="7" name="Rectangle à coins arrondis 2">
          <a:hlinkClick xmlns:r="http://schemas.openxmlformats.org/officeDocument/2006/relationships" r:id="rId2" tooltip="Scorecard"/>
        </xdr:cNvPr>
        <xdr:cNvSpPr>
          <a:spLocks noChangeArrowheads="1"/>
        </xdr:cNvSpPr>
      </xdr:nvSpPr>
      <xdr:spPr bwMode="auto">
        <a:xfrm>
          <a:off x="7858126"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11</xdr:col>
      <xdr:colOff>43924</xdr:colOff>
      <xdr:row>0</xdr:row>
      <xdr:rowOff>47625</xdr:rowOff>
    </xdr:from>
    <xdr:to>
      <xdr:col>12</xdr:col>
      <xdr:colOff>514324</xdr:colOff>
      <xdr:row>0</xdr:row>
      <xdr:rowOff>335625</xdr:rowOff>
    </xdr:to>
    <xdr:sp macro="" textlink="">
      <xdr:nvSpPr>
        <xdr:cNvPr id="8" name="Rectangle à coins arrondis 2">
          <a:hlinkClick xmlns:r="http://schemas.openxmlformats.org/officeDocument/2006/relationships" r:id="rId3" tooltip="Instructions"/>
        </xdr:cNvPr>
        <xdr:cNvSpPr>
          <a:spLocks noChangeArrowheads="1"/>
        </xdr:cNvSpPr>
      </xdr:nvSpPr>
      <xdr:spPr bwMode="auto">
        <a:xfrm>
          <a:off x="6654274"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9</xdr:col>
      <xdr:colOff>228600</xdr:colOff>
      <xdr:row>0</xdr:row>
      <xdr:rowOff>47625</xdr:rowOff>
    </xdr:from>
    <xdr:to>
      <xdr:col>10</xdr:col>
      <xdr:colOff>699000</xdr:colOff>
      <xdr:row>0</xdr:row>
      <xdr:rowOff>335625</xdr:rowOff>
    </xdr:to>
    <xdr:sp macro="" textlink="">
      <xdr:nvSpPr>
        <xdr:cNvPr id="9" name="Rectangle à coins arrondis 2">
          <a:hlinkClick xmlns:r="http://schemas.openxmlformats.org/officeDocument/2006/relationships" r:id="rId4" tooltip="Introduction"/>
        </xdr:cNvPr>
        <xdr:cNvSpPr>
          <a:spLocks noChangeArrowheads="1"/>
        </xdr:cNvSpPr>
      </xdr:nvSpPr>
      <xdr:spPr bwMode="auto">
        <a:xfrm>
          <a:off x="5448300"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66676</xdr:colOff>
      <xdr:row>24</xdr:row>
      <xdr:rowOff>85725</xdr:rowOff>
    </xdr:from>
    <xdr:to>
      <xdr:col>14</xdr:col>
      <xdr:colOff>523876</xdr:colOff>
      <xdr:row>28</xdr:row>
      <xdr:rowOff>276225</xdr:rowOff>
    </xdr:to>
    <xdr:sp macro="" textlink="">
      <xdr:nvSpPr>
        <xdr:cNvPr id="2" name="Rectangle à coins arrondis 2">
          <a:hlinkClick xmlns:r="http://schemas.openxmlformats.org/officeDocument/2006/relationships" r:id="rId1" tooltip="Glossary"/>
        </xdr:cNvPr>
        <xdr:cNvSpPr>
          <a:spLocks noChangeArrowheads="1"/>
        </xdr:cNvSpPr>
      </xdr:nvSpPr>
      <xdr:spPr bwMode="auto">
        <a:xfrm>
          <a:off x="7896226" y="5734050"/>
          <a:ext cx="1066800" cy="1104900"/>
        </a:xfrm>
        <a:prstGeom prst="roundRect">
          <a:avLst>
            <a:gd name="adj" fmla="val 16667"/>
          </a:avLst>
        </a:prstGeom>
        <a:gradFill rotWithShape="1">
          <a:gsLst>
            <a:gs pos="0">
              <a:srgbClr val="BCBCBC"/>
            </a:gs>
            <a:gs pos="35001">
              <a:srgbClr val="D0D0D0"/>
            </a:gs>
            <a:gs pos="100000">
              <a:srgbClr val="EDEDED"/>
            </a:gs>
          </a:gsLst>
          <a:lin ang="16200000" scaled="1"/>
        </a:gra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100" b="0" i="0" u="none" strike="noStrike" baseline="0">
              <a:solidFill>
                <a:srgbClr val="000000"/>
              </a:solidFill>
              <a:latin typeface="Arial" panose="020B0604020202020204" pitchFamily="34" charset="0"/>
              <a:cs typeface="Arial" panose="020B0604020202020204" pitchFamily="34" charset="0"/>
            </a:rPr>
            <a:t>Click here to see some definitions of submission terms</a:t>
          </a:r>
        </a:p>
      </xdr:txBody>
    </xdr:sp>
    <xdr:clientData/>
  </xdr:twoCellAnchor>
  <xdr:twoCellAnchor editAs="oneCell">
    <xdr:from>
      <xdr:col>1</xdr:col>
      <xdr:colOff>0</xdr:colOff>
      <xdr:row>1</xdr:row>
      <xdr:rowOff>47625</xdr:rowOff>
    </xdr:from>
    <xdr:to>
      <xdr:col>1</xdr:col>
      <xdr:colOff>360000</xdr:colOff>
      <xdr:row>2</xdr:row>
      <xdr:rowOff>179025</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428625"/>
          <a:ext cx="360000" cy="360000"/>
        </a:xfrm>
        <a:prstGeom prst="rect">
          <a:avLst/>
        </a:prstGeom>
      </xdr:spPr>
    </xdr:pic>
    <xdr:clientData/>
  </xdr:twoCellAnchor>
  <xdr:twoCellAnchor>
    <xdr:from>
      <xdr:col>13</xdr:col>
      <xdr:colOff>28576</xdr:colOff>
      <xdr:row>0</xdr:row>
      <xdr:rowOff>47625</xdr:rowOff>
    </xdr:from>
    <xdr:to>
      <xdr:col>14</xdr:col>
      <xdr:colOff>498976</xdr:colOff>
      <xdr:row>0</xdr:row>
      <xdr:rowOff>335625</xdr:rowOff>
    </xdr:to>
    <xdr:sp macro="" textlink="">
      <xdr:nvSpPr>
        <xdr:cNvPr id="7" name="Rectangle à coins arrondis 2">
          <a:hlinkClick xmlns:r="http://schemas.openxmlformats.org/officeDocument/2006/relationships" r:id="rId3" tooltip="Scorecard"/>
        </xdr:cNvPr>
        <xdr:cNvSpPr>
          <a:spLocks noChangeArrowheads="1"/>
        </xdr:cNvSpPr>
      </xdr:nvSpPr>
      <xdr:spPr bwMode="auto">
        <a:xfrm>
          <a:off x="7858126"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itchFamily="34" charset="0"/>
              <a:cs typeface="Arial" pitchFamily="34" charset="0"/>
            </a:rPr>
            <a:t>Scorecard</a:t>
          </a:r>
        </a:p>
      </xdr:txBody>
    </xdr:sp>
    <xdr:clientData/>
  </xdr:twoCellAnchor>
  <xdr:twoCellAnchor>
    <xdr:from>
      <xdr:col>11</xdr:col>
      <xdr:colOff>43924</xdr:colOff>
      <xdr:row>0</xdr:row>
      <xdr:rowOff>47625</xdr:rowOff>
    </xdr:from>
    <xdr:to>
      <xdr:col>12</xdr:col>
      <xdr:colOff>514324</xdr:colOff>
      <xdr:row>0</xdr:row>
      <xdr:rowOff>335625</xdr:rowOff>
    </xdr:to>
    <xdr:sp macro="" textlink="">
      <xdr:nvSpPr>
        <xdr:cNvPr id="8" name="Rectangle à coins arrondis 2">
          <a:hlinkClick xmlns:r="http://schemas.openxmlformats.org/officeDocument/2006/relationships" r:id="rId4" tooltip="Instructions"/>
        </xdr:cNvPr>
        <xdr:cNvSpPr>
          <a:spLocks noChangeArrowheads="1"/>
        </xdr:cNvSpPr>
      </xdr:nvSpPr>
      <xdr:spPr bwMode="auto">
        <a:xfrm>
          <a:off x="6654274"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Instructions</a:t>
          </a:r>
        </a:p>
      </xdr:txBody>
    </xdr:sp>
    <xdr:clientData/>
  </xdr:twoCellAnchor>
  <xdr:twoCellAnchor>
    <xdr:from>
      <xdr:col>9</xdr:col>
      <xdr:colOff>228600</xdr:colOff>
      <xdr:row>0</xdr:row>
      <xdr:rowOff>47625</xdr:rowOff>
    </xdr:from>
    <xdr:to>
      <xdr:col>10</xdr:col>
      <xdr:colOff>699000</xdr:colOff>
      <xdr:row>0</xdr:row>
      <xdr:rowOff>335625</xdr:rowOff>
    </xdr:to>
    <xdr:sp macro="" textlink="">
      <xdr:nvSpPr>
        <xdr:cNvPr id="9" name="Rectangle à coins arrondis 2">
          <a:hlinkClick xmlns:r="http://schemas.openxmlformats.org/officeDocument/2006/relationships" r:id="rId5" tooltip="Introduction"/>
        </xdr:cNvPr>
        <xdr:cNvSpPr>
          <a:spLocks noChangeArrowheads="1"/>
        </xdr:cNvSpPr>
      </xdr:nvSpPr>
      <xdr:spPr bwMode="auto">
        <a:xfrm>
          <a:off x="5448300" y="47625"/>
          <a:ext cx="1080000" cy="288000"/>
        </a:xfrm>
        <a:prstGeom prst="roundRect">
          <a:avLst>
            <a:gd name="adj" fmla="val 16667"/>
          </a:avLst>
        </a:prstGeom>
        <a:solidFill>
          <a:schemeClr val="bg1"/>
        </a:solidFill>
        <a:ln w="9525" algn="ctr">
          <a:solidFill>
            <a:schemeClr val="tx1">
              <a:lumMod val="50000"/>
              <a:lumOff val="50000"/>
            </a:schemeClr>
          </a:solidFill>
          <a:round/>
          <a:headEnd/>
          <a:tailEnd/>
        </a:ln>
        <a:effectLst>
          <a:outerShdw blurRad="50800" dist="38100" dir="2700000" algn="tl" rotWithShape="0">
            <a:prstClr val="black">
              <a:alpha val="40000"/>
            </a:prstClr>
          </a:outerShdw>
        </a:effectLst>
      </xdr:spPr>
      <xdr:txBody>
        <a:bodyPr vertOverflow="clip" wrap="square" lIns="36576" tIns="36576" rIns="36576" bIns="36576" anchor="ctr" upright="1"/>
        <a:lstStyle/>
        <a:p>
          <a:pPr algn="ctr" rtl="0">
            <a:defRPr sz="1000"/>
          </a:pPr>
          <a:r>
            <a:rPr lang="fr-FR" sz="1200" b="0" i="0" u="none" strike="noStrike" baseline="0">
              <a:solidFill>
                <a:srgbClr val="943634"/>
              </a:solidFill>
              <a:latin typeface="Arial" panose="020B0604020202020204" pitchFamily="34" charset="0"/>
              <a:cs typeface="Arial" panose="020B0604020202020204" pitchFamily="34" charset="0"/>
            </a:rPr>
            <a:t>Introduction</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VGBC-HP/Documents/MEGA/LOTUS%20Systems/LOTUS%20Small%20Interiors/2_%20LOTUS%20SI%20V1/LOTUS%20Small%20Interiors%20V1%20-%20User%20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GBC_NAS\VGBC_Network\Users\phong.vu\Documents\Xavier\Interiors\LOTUS%20Interiors%20-%20User%20Tool%20-%2025.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ttals"/>
      <sheetName val="Home"/>
      <sheetName val="Acknowledgments"/>
      <sheetName val="Introduction"/>
      <sheetName val="Instructions"/>
      <sheetName val="Recommendations"/>
      <sheetName val="LOTUS SI Eligibility"/>
      <sheetName val="Project information"/>
      <sheetName val="Application Form"/>
      <sheetName val="Pre-assessment checklist"/>
      <sheetName val="Prov. Certification checklist"/>
      <sheetName val="Certification checklist "/>
      <sheetName val="LOTUS SI Scorecard"/>
      <sheetName val="Graphical Results"/>
      <sheetName val="Energy"/>
      <sheetName val="E-1 Space cooling"/>
      <sheetName val="E-2 Artificial Lighting"/>
      <sheetName val="E-3 Energy Efficient Appliances"/>
      <sheetName val="E-4 Energy Monitor"/>
      <sheetName val="Energy BPC"/>
      <sheetName val="Water"/>
      <sheetName val="W-1 Water Efficient Fixtures"/>
      <sheetName val="W-2 Drinking Water "/>
      <sheetName val="Materials"/>
      <sheetName val="Materials Glossary"/>
      <sheetName val="M-1 Sustainable Materials"/>
      <sheetName val="M-2 Sustainable Furniture"/>
      <sheetName val="Waste &amp; Pollution"/>
      <sheetName val="WP-1 Refrigerants"/>
      <sheetName val="WP-2 Fit-out Waste"/>
      <sheetName val="WP-3 Operation Waste Management"/>
      <sheetName val="Health &amp; Comfort"/>
      <sheetName val="H-1 Fresh Air Supply"/>
      <sheetName val="H-2 Low-VOC Emissions "/>
      <sheetName val="H-3 Interior Plants"/>
      <sheetName val="H-4 Green Cleaning"/>
      <sheetName val="H-5 Daylighting"/>
      <sheetName val="H-6 External Views"/>
      <sheetName val="H-7 Thermal Comfort"/>
      <sheetName val="H&amp;C BPC"/>
      <sheetName val="Location &amp; Transportation"/>
      <sheetName val="LT-1 Base building "/>
      <sheetName val="LT-2 Tenancy lease"/>
      <sheetName val="LT-3 Green Transportation "/>
      <sheetName val="LT-BPC"/>
      <sheetName val="Management"/>
      <sheetName val="Man-1 Construction Stage"/>
      <sheetName val="Man-2 Commissioning"/>
      <sheetName val="Man-3 Maintenance"/>
      <sheetName val="Man-4 Green Awareness "/>
      <sheetName val="Man BPC"/>
      <sheetName val="Innovation"/>
      <sheetName val="Inn-1 Exceptional Performance "/>
      <sheetName val="Inn-2 Innovative Techniques"/>
      <sheetName val="Additional information"/>
      <sheetName val="Glossary"/>
      <sheetName val="Resour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67">
          <cell r="O167" t="str">
            <v>Select</v>
          </cell>
        </row>
        <row r="168">
          <cell r="O168" t="str">
            <v xml:space="preserve">Unitary air-conditioner </v>
          </cell>
        </row>
        <row r="169">
          <cell r="O169" t="str">
            <v xml:space="preserve">Split air-conditioner </v>
          </cell>
        </row>
        <row r="170">
          <cell r="O170" t="str">
            <v>Air-cooled air-conditioner</v>
          </cell>
        </row>
        <row r="171">
          <cell r="O171" t="str">
            <v>Air conditioner water and evaporatively cooled</v>
          </cell>
        </row>
        <row r="172">
          <cell r="O172" t="str">
            <v>Air cooled chiller</v>
          </cell>
        </row>
        <row r="173">
          <cell r="O173" t="str">
            <v>Water cooled chiller (reciprocating)</v>
          </cell>
        </row>
        <row r="174">
          <cell r="O174" t="str">
            <v>Water cooled chiller (screw and scroll)</v>
          </cell>
        </row>
        <row r="175">
          <cell r="O175" t="str">
            <v>Water cooled chiller (centrifugal)</v>
          </cell>
        </row>
      </sheetData>
      <sheetData sheetId="16">
        <row r="82">
          <cell r="M82" t="str">
            <v>Select</v>
          </cell>
        </row>
        <row r="83">
          <cell r="M83" t="str">
            <v>Office</v>
          </cell>
        </row>
        <row r="84">
          <cell r="M84" t="str">
            <v>Hotel</v>
          </cell>
        </row>
        <row r="85">
          <cell r="M85" t="str">
            <v>Hospital</v>
          </cell>
        </row>
        <row r="86">
          <cell r="M86" t="str">
            <v>School</v>
          </cell>
        </row>
        <row r="87">
          <cell r="M87" t="str">
            <v>Retail</v>
          </cell>
        </row>
        <row r="88">
          <cell r="M88" t="str">
            <v>Residential</v>
          </cell>
        </row>
        <row r="89">
          <cell r="M89" t="str">
            <v>Enclosed, in-house, basement car parks</v>
          </cell>
        </row>
        <row r="90">
          <cell r="M90" t="str">
            <v xml:space="preserve">Outdoor or open (roofed only) car parks </v>
          </cell>
        </row>
        <row r="91">
          <cell r="M91" t="str">
            <v>Other types</v>
          </cell>
        </row>
      </sheetData>
      <sheetData sheetId="17" refreshError="1"/>
      <sheetData sheetId="18" refreshError="1"/>
      <sheetData sheetId="19" refreshError="1"/>
      <sheetData sheetId="20" refreshError="1"/>
      <sheetData sheetId="21">
        <row r="207">
          <cell r="M207" t="str">
            <v>Select</v>
          </cell>
        </row>
        <row r="208">
          <cell r="M208" t="str">
            <v>Residential dishwashers (standard and compact)</v>
          </cell>
        </row>
        <row r="209">
          <cell r="M209" t="str">
            <v>Residential Clothes washer</v>
          </cell>
        </row>
        <row r="210">
          <cell r="M210" t="str">
            <v>Commercial Clothes washer</v>
          </cell>
        </row>
        <row r="211">
          <cell r="M211" t="str">
            <v>Commercial Prerinse Spray Valves</v>
          </cell>
        </row>
        <row r="212">
          <cell r="M212" t="str">
            <v>Ice machine</v>
          </cell>
        </row>
        <row r="213">
          <cell r="M213" t="str">
            <v>Dishwasher (undercounter)</v>
          </cell>
        </row>
        <row r="214">
          <cell r="M214" t="str">
            <v>Dishwasher (Stationary, single tank, door)</v>
          </cell>
        </row>
        <row r="215">
          <cell r="M215" t="str">
            <v>Dishwasher (Single tank, conveyor)</v>
          </cell>
        </row>
        <row r="216">
          <cell r="M216" t="str">
            <v>Dishwasher (Multiple tank, conveyor)</v>
          </cell>
        </row>
        <row r="217">
          <cell r="M217" t="str">
            <v>Dishwasher (Flight machine)</v>
          </cell>
        </row>
        <row r="218">
          <cell r="M218" t="str">
            <v>Food steamer (batch)</v>
          </cell>
        </row>
        <row r="219">
          <cell r="M219" t="str">
            <v>Food steamer (Cook-to-order)</v>
          </cell>
        </row>
        <row r="220">
          <cell r="M220" t="str">
            <v>Combination oven (Countertop or stand)</v>
          </cell>
        </row>
        <row r="221">
          <cell r="M221" t="str">
            <v>Combination oven (Roll-in)</v>
          </cell>
        </row>
      </sheetData>
      <sheetData sheetId="22" refreshError="1"/>
      <sheetData sheetId="23" refreshError="1"/>
      <sheetData sheetId="24" refreshError="1"/>
      <sheetData sheetId="25">
        <row r="35">
          <cell r="M35" t="str">
            <v>Select</v>
          </cell>
        </row>
        <row r="36">
          <cell r="M36" t="str">
            <v>Reused</v>
          </cell>
        </row>
        <row r="37">
          <cell r="M37" t="str">
            <v>Reused components</v>
          </cell>
        </row>
        <row r="38">
          <cell r="M38" t="str">
            <v>Recycled Content</v>
          </cell>
        </row>
        <row r="39">
          <cell r="M39" t="str">
            <v>Rapidly renewable content</v>
          </cell>
        </row>
        <row r="40">
          <cell r="M40" t="str">
            <v>Timber from a sustainable source</v>
          </cell>
        </row>
        <row r="41">
          <cell r="M41" t="str">
            <v>Non-baked material</v>
          </cell>
        </row>
        <row r="42">
          <cell r="M42" t="str">
            <v>Manufacturer ISO 14001 certification</v>
          </cell>
        </row>
        <row r="43">
          <cell r="M43" t="str">
            <v>Materials certified based on LCA 
(Platinum or Gold equivalent)</v>
          </cell>
        </row>
        <row r="44">
          <cell r="M44" t="str">
            <v>Materials certified based on LCA 
(Silver equivalent)</v>
          </cell>
        </row>
        <row r="45">
          <cell r="M45" t="str">
            <v>Materials certified based on LCA 
(Bronze equivalent)</v>
          </cell>
        </row>
        <row r="46">
          <cell r="M46" t="str">
            <v>Materials certified based on LCA 
(Basic equivalent)</v>
          </cell>
        </row>
        <row r="47">
          <cell r="M47" t="str">
            <v>Other certified material</v>
          </cell>
        </row>
        <row r="48">
          <cell r="M48" t="str">
            <v>Material with EPD</v>
          </cell>
        </row>
        <row r="49">
          <cell r="M49" t="str">
            <v>Designed for disassembly</v>
          </cell>
        </row>
        <row r="50">
          <cell r="M50" t="str">
            <v>Locally extracted/harvested/manufactured</v>
          </cell>
        </row>
        <row r="51">
          <cell r="M51" t="str">
            <v>Locally manufactured</v>
          </cell>
        </row>
        <row r="52">
          <cell r="M52" t="str">
            <v>None</v>
          </cell>
        </row>
      </sheetData>
      <sheetData sheetId="26">
        <row r="44">
          <cell r="N44" t="str">
            <v>Select</v>
          </cell>
        </row>
        <row r="45">
          <cell r="N45" t="str">
            <v>Reused Product</v>
          </cell>
        </row>
        <row r="46">
          <cell r="N46" t="str">
            <v>Reused components</v>
          </cell>
        </row>
        <row r="47">
          <cell r="N47" t="str">
            <v>Recycled Content</v>
          </cell>
        </row>
        <row r="48">
          <cell r="N48" t="str">
            <v>Rapidly renewable content</v>
          </cell>
        </row>
        <row r="49">
          <cell r="N49" t="str">
            <v>Timber from a sustainable source</v>
          </cell>
        </row>
        <row r="50">
          <cell r="N50" t="str">
            <v>Manufacturer ISO 14001 certification</v>
          </cell>
        </row>
        <row r="51">
          <cell r="N51" t="str">
            <v>Product with EPD</v>
          </cell>
        </row>
        <row r="52">
          <cell r="N52" t="str">
            <v>Product certified based on LCA 
(Platinum or Gold equivalent)</v>
          </cell>
        </row>
        <row r="53">
          <cell r="N53" t="str">
            <v>Product certified based on LCA 
(Silver equivalent)</v>
          </cell>
        </row>
        <row r="54">
          <cell r="N54" t="str">
            <v>Product certified based on LCA 
(Bronze equivalent)</v>
          </cell>
        </row>
        <row r="55">
          <cell r="N55" t="str">
            <v>Product certified based on LCA 
(Basic equivalent)</v>
          </cell>
        </row>
        <row r="56">
          <cell r="N56" t="str">
            <v>Other certified product</v>
          </cell>
        </row>
        <row r="57">
          <cell r="N57" t="str">
            <v>Locally extracted/harvested/manufactured</v>
          </cell>
        </row>
        <row r="58">
          <cell r="N58" t="str">
            <v>Locally manufactured</v>
          </cell>
        </row>
        <row r="59">
          <cell r="N59" t="str">
            <v>None</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247">
          <cell r="P247" t="str">
            <v>Select</v>
          </cell>
        </row>
        <row r="248">
          <cell r="P248" t="str">
            <v>Apartment and condominium</v>
          </cell>
        </row>
        <row r="249">
          <cell r="P249" t="str">
            <v>Hotel/motel</v>
          </cell>
        </row>
        <row r="250">
          <cell r="P250" t="str">
            <v>Office building</v>
          </cell>
        </row>
        <row r="251">
          <cell r="P251" t="str">
            <v>Hospital &amp; Clinic</v>
          </cell>
        </row>
        <row r="252">
          <cell r="P252" t="str">
            <v>Courtroom</v>
          </cell>
        </row>
        <row r="253">
          <cell r="P253" t="str">
            <v>Performing arts space</v>
          </cell>
        </row>
        <row r="254">
          <cell r="P254" t="str">
            <v>Laboratories</v>
          </cell>
        </row>
        <row r="255">
          <cell r="P255" t="str">
            <v>Library</v>
          </cell>
        </row>
        <row r="256">
          <cell r="P256" t="str">
            <v>Indoor stadium, gymnasium</v>
          </cell>
        </row>
        <row r="257">
          <cell r="P257" t="str">
            <v>School</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bmittals"/>
      <sheetName val="Home"/>
      <sheetName val="Introduction"/>
      <sheetName val="Instructions"/>
      <sheetName val="Recommendations"/>
      <sheetName val="LOTUS Interiors Eligibility"/>
      <sheetName val="Project information"/>
      <sheetName val="LOTUS Interiors Scorecard"/>
      <sheetName val="Graphical Results"/>
      <sheetName val="Pre-assessment checklist"/>
      <sheetName val="Prov. Certification checklist"/>
      <sheetName val="Final Certification checklist "/>
      <sheetName val="Energy"/>
      <sheetName val="E-1 Space cooling"/>
      <sheetName val="E-2 Artificial Lighting"/>
      <sheetName val="E-3 Energy Efficient Appliances"/>
      <sheetName val="E-4 Energy Monitoring"/>
      <sheetName val="Water"/>
      <sheetName val="W-1 Water Efficient Fixtures"/>
      <sheetName val="W-2 Drinking Water "/>
      <sheetName val="Materials"/>
      <sheetName val="M-1 Sustainable Materials"/>
      <sheetName val="M-2 Sustainable Furniture"/>
      <sheetName val="Waste &amp; Pollution"/>
      <sheetName val="WP-1 Refrigerants"/>
      <sheetName val="WP-2 Construction Waste"/>
      <sheetName val="WP-3 Waste Management"/>
      <sheetName val="Health &amp; Comfort"/>
      <sheetName val="H-PR-1 Indoor Smoking"/>
      <sheetName val="H-1 Fresh Air Supply"/>
      <sheetName val="H-2 CO2 Monitoring"/>
      <sheetName val="H-3 Hazardous Materials"/>
      <sheetName val="H-4 Removal of pollutants"/>
      <sheetName val="H-5 Interior Plants"/>
      <sheetName val="H-6 Green Cleaning"/>
      <sheetName val="H-7 Daylighting"/>
      <sheetName val="H-8 External Views"/>
      <sheetName val="H-9 Lighting Comfort"/>
      <sheetName val="H-10 Thermal Comfort"/>
      <sheetName val="H-11 Acoustic Comfort"/>
      <sheetName val="H-12 Post-occupancy Comfort"/>
      <sheetName val="Location &amp; Transportation"/>
      <sheetName val="LT-1 Base building "/>
      <sheetName val="LT-2 Tenancy lease"/>
      <sheetName val="LT-3 Green Transportation "/>
      <sheetName val="LT-4 Facilities and amenities "/>
      <sheetName val="Management"/>
      <sheetName val="Man-1 LOTUS AP"/>
      <sheetName val="Man-2 Construction Stage"/>
      <sheetName val="Man-3 Commissioning"/>
      <sheetName val="Man-4 Maintenance"/>
      <sheetName val="Man-5 Green Awareness "/>
      <sheetName val="Innovation"/>
      <sheetName val="Inn-1 Exceptional Performance "/>
      <sheetName val="Inn-2 Innovative Techniques"/>
      <sheetName val="Resources"/>
      <sheetName val="Rainfall Data"/>
      <sheetName val="Example"/>
      <sheetName val="Feedbac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54">
          <cell r="O54" t="str">
            <v>Select</v>
          </cell>
        </row>
        <row r="55">
          <cell r="O55" t="str">
            <v xml:space="preserve">Unitary air-conditioner </v>
          </cell>
        </row>
        <row r="56">
          <cell r="O56" t="str">
            <v xml:space="preserve">Split air-conditioner </v>
          </cell>
        </row>
        <row r="57">
          <cell r="O57" t="str">
            <v>air-cooled air-conditioner</v>
          </cell>
        </row>
        <row r="58">
          <cell r="O58" t="str">
            <v>Air conditioner water and evaporatively cooled</v>
          </cell>
        </row>
        <row r="59">
          <cell r="O59" t="str">
            <v>Air cooled chiller</v>
          </cell>
        </row>
        <row r="60">
          <cell r="O60" t="str">
            <v>Water cooled chiller (reciprocating)</v>
          </cell>
        </row>
        <row r="61">
          <cell r="O61" t="str">
            <v>Water cooled chiller (screw and scroll)</v>
          </cell>
        </row>
        <row r="62">
          <cell r="O62" t="str">
            <v>Water cooled chiller (centrifugal)</v>
          </cell>
        </row>
      </sheetData>
      <sheetData sheetId="14">
        <row r="28">
          <cell r="L28" t="str">
            <v>Select</v>
          </cell>
        </row>
        <row r="29">
          <cell r="L29" t="str">
            <v>Office</v>
          </cell>
        </row>
        <row r="30">
          <cell r="L30" t="str">
            <v>Hotel</v>
          </cell>
        </row>
        <row r="31">
          <cell r="L31" t="str">
            <v>Hospital</v>
          </cell>
        </row>
        <row r="32">
          <cell r="L32" t="str">
            <v>School</v>
          </cell>
        </row>
        <row r="33">
          <cell r="L33" t="str">
            <v>Retail</v>
          </cell>
        </row>
        <row r="34">
          <cell r="L34" t="str">
            <v>Residential</v>
          </cell>
        </row>
        <row r="35">
          <cell r="L35" t="str">
            <v>Enclosed, in-house, basement car parks</v>
          </cell>
        </row>
        <row r="36">
          <cell r="L36" t="str">
            <v xml:space="preserve">Outdoor or open (roofed only) car parks </v>
          </cell>
        </row>
        <row r="37">
          <cell r="L37" t="str">
            <v>Other types</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2" Type="http://schemas.openxmlformats.org/officeDocument/2006/relationships/drawing" Target="../drawings/drawing16.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hyperlink" Target="http://out-2.com/" TargetMode="External"/><Relationship Id="rId13" Type="http://schemas.openxmlformats.org/officeDocument/2006/relationships/hyperlink" Target="http://www.rcrtom.com.au/" TargetMode="External"/><Relationship Id="rId18" Type="http://schemas.openxmlformats.org/officeDocument/2006/relationships/hyperlink" Target="http://www.bharchitects.com/en/news" TargetMode="External"/><Relationship Id="rId26" Type="http://schemas.openxmlformats.org/officeDocument/2006/relationships/hyperlink" Target="http://www.sonacons.com.vn/en/" TargetMode="External"/><Relationship Id="rId3" Type="http://schemas.openxmlformats.org/officeDocument/2006/relationships/hyperlink" Target="http://bambooali.com/" TargetMode="External"/><Relationship Id="rId21" Type="http://schemas.openxmlformats.org/officeDocument/2006/relationships/hyperlink" Target="http://www.cbrevietnam.com/?lang=vi" TargetMode="External"/><Relationship Id="rId34" Type="http://schemas.openxmlformats.org/officeDocument/2006/relationships/hyperlink" Target="http://www.zamilsteel.com.vn/" TargetMode="External"/><Relationship Id="rId7" Type="http://schemas.openxmlformats.org/officeDocument/2006/relationships/hyperlink" Target="http://www.lapnguyen.com.vn/" TargetMode="External"/><Relationship Id="rId12" Type="http://schemas.openxmlformats.org/officeDocument/2006/relationships/hyperlink" Target="http://www.dragoncapital.com/" TargetMode="External"/><Relationship Id="rId17" Type="http://schemas.openxmlformats.org/officeDocument/2006/relationships/hyperlink" Target="http://www.namajsc.com.vn/" TargetMode="External"/><Relationship Id="rId25" Type="http://schemas.openxmlformats.org/officeDocument/2006/relationships/hyperlink" Target="http://hoangtam.com/" TargetMode="External"/><Relationship Id="rId33" Type="http://schemas.openxmlformats.org/officeDocument/2006/relationships/hyperlink" Target="http://work-wonders.com.vn/" TargetMode="External"/><Relationship Id="rId38" Type="http://schemas.openxmlformats.org/officeDocument/2006/relationships/drawing" Target="../drawings/drawing2.xml"/><Relationship Id="rId2" Type="http://schemas.openxmlformats.org/officeDocument/2006/relationships/hyperlink" Target="http://awspl.com.vn/details/about-us.html" TargetMode="External"/><Relationship Id="rId16" Type="http://schemas.openxmlformats.org/officeDocument/2006/relationships/hyperlink" Target="http://www.e-block.com.vn/eblock" TargetMode="External"/><Relationship Id="rId20" Type="http://schemas.openxmlformats.org/officeDocument/2006/relationships/hyperlink" Target="http://www.cattuongcorp.com/en/" TargetMode="External"/><Relationship Id="rId29" Type="http://schemas.openxmlformats.org/officeDocument/2006/relationships/hyperlink" Target="http://www.tttcompany.com/" TargetMode="External"/><Relationship Id="rId1" Type="http://schemas.openxmlformats.org/officeDocument/2006/relationships/hyperlink" Target="http://out-2.com/" TargetMode="External"/><Relationship Id="rId6" Type="http://schemas.openxmlformats.org/officeDocument/2006/relationships/hyperlink" Target="http://www.groupgsa.com/" TargetMode="External"/><Relationship Id="rId11" Type="http://schemas.openxmlformats.org/officeDocument/2006/relationships/hyperlink" Target="http://dpsd.com.sg/" TargetMode="External"/><Relationship Id="rId24" Type="http://schemas.openxmlformats.org/officeDocument/2006/relationships/hyperlink" Target="http://www.dragoncapital.com/" TargetMode="External"/><Relationship Id="rId32" Type="http://schemas.openxmlformats.org/officeDocument/2006/relationships/hyperlink" Target="http://www.unicons.vn/" TargetMode="External"/><Relationship Id="rId37" Type="http://schemas.openxmlformats.org/officeDocument/2006/relationships/hyperlink" Target="http://www.saigonxanh.com/" TargetMode="External"/><Relationship Id="rId5" Type="http://schemas.openxmlformats.org/officeDocument/2006/relationships/hyperlink" Target="http://www.namajsc.com.vn/" TargetMode="External"/><Relationship Id="rId15" Type="http://schemas.openxmlformats.org/officeDocument/2006/relationships/hyperlink" Target="http://www.palm.vn/" TargetMode="External"/><Relationship Id="rId23" Type="http://schemas.openxmlformats.org/officeDocument/2006/relationships/hyperlink" Target="http://greenconsult-asia.com/references/dbw-factory/" TargetMode="External"/><Relationship Id="rId28" Type="http://schemas.openxmlformats.org/officeDocument/2006/relationships/hyperlink" Target="http://www.archetype-group.com/" TargetMode="External"/><Relationship Id="rId36" Type="http://schemas.openxmlformats.org/officeDocument/2006/relationships/hyperlink" Target="http://quocviet.technology/" TargetMode="External"/><Relationship Id="rId10" Type="http://schemas.openxmlformats.org/officeDocument/2006/relationships/hyperlink" Target="http://hoangtam.com/" TargetMode="External"/><Relationship Id="rId19" Type="http://schemas.openxmlformats.org/officeDocument/2006/relationships/hyperlink" Target="http://www.bryair.com.my/" TargetMode="External"/><Relationship Id="rId31" Type="http://schemas.openxmlformats.org/officeDocument/2006/relationships/hyperlink" Target="http://www.unityarch.com/vi/home/" TargetMode="External"/><Relationship Id="rId4" Type="http://schemas.openxmlformats.org/officeDocument/2006/relationships/hyperlink" Target="http://www.lapnguyen.com.vn/" TargetMode="External"/><Relationship Id="rId9" Type="http://schemas.openxmlformats.org/officeDocument/2006/relationships/hyperlink" Target="http://nnvietnam.com/" TargetMode="External"/><Relationship Id="rId14" Type="http://schemas.openxmlformats.org/officeDocument/2006/relationships/hyperlink" Target="http://phuquibdq.com/" TargetMode="External"/><Relationship Id="rId22" Type="http://schemas.openxmlformats.org/officeDocument/2006/relationships/hyperlink" Target="http://www.cc1mekong.com/" TargetMode="External"/><Relationship Id="rId27" Type="http://schemas.openxmlformats.org/officeDocument/2006/relationships/hyperlink" Target="http://www.tt-as.vn/" TargetMode="External"/><Relationship Id="rId30" Type="http://schemas.openxmlformats.org/officeDocument/2006/relationships/hyperlink" Target="http://www.tuanle.com.vn/en/" TargetMode="External"/><Relationship Id="rId35" Type="http://schemas.openxmlformats.org/officeDocument/2006/relationships/hyperlink" Target="http://cdcjsc.vn/en/home.h.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4.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5.xml"/><Relationship Id="rId1" Type="http://schemas.openxmlformats.org/officeDocument/2006/relationships/printerSettings" Target="../printerSettings/printerSettings24.bin"/><Relationship Id="rId4" Type="http://schemas.openxmlformats.org/officeDocument/2006/relationships/comments" Target="../comments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mailto:certification@vgbc.org.vn"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44.bin"/></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5.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hyperlink" Target="http://energy.lbl.gov/coolroo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hyperlink" Target="http://www.ifpri.org/sites/default/files/publications/ifpridp01248.pdf" TargetMode="External"/></Relationships>
</file>

<file path=xl/worksheets/_rels/sheet61.xml.rels><?xml version="1.0" encoding="UTF-8" standalone="yes"?>
<Relationships xmlns="http://schemas.openxmlformats.org/package/2006/relationships"><Relationship Id="rId8" Type="http://schemas.openxmlformats.org/officeDocument/2006/relationships/ctrlProp" Target="../ctrlProps/ctrlProp38.xml"/><Relationship Id="rId3" Type="http://schemas.openxmlformats.org/officeDocument/2006/relationships/ctrlProp" Target="../ctrlProps/ctrlProp33.xml"/><Relationship Id="rId7" Type="http://schemas.openxmlformats.org/officeDocument/2006/relationships/ctrlProp" Target="../ctrlProps/ctrlProp37.xml"/><Relationship Id="rId12" Type="http://schemas.openxmlformats.org/officeDocument/2006/relationships/ctrlProp" Target="../ctrlProps/ctrlProp42.xml"/><Relationship Id="rId2" Type="http://schemas.openxmlformats.org/officeDocument/2006/relationships/vmlDrawing" Target="../drawings/vmlDrawing4.vml"/><Relationship Id="rId1" Type="http://schemas.openxmlformats.org/officeDocument/2006/relationships/drawing" Target="../drawings/drawing62.xml"/><Relationship Id="rId6" Type="http://schemas.openxmlformats.org/officeDocument/2006/relationships/ctrlProp" Target="../ctrlProps/ctrlProp36.xml"/><Relationship Id="rId11" Type="http://schemas.openxmlformats.org/officeDocument/2006/relationships/ctrlProp" Target="../ctrlProps/ctrlProp41.xml"/><Relationship Id="rId5" Type="http://schemas.openxmlformats.org/officeDocument/2006/relationships/ctrlProp" Target="../ctrlProps/ctrlProp35.xml"/><Relationship Id="rId10" Type="http://schemas.openxmlformats.org/officeDocument/2006/relationships/ctrlProp" Target="../ctrlProps/ctrlProp40.xml"/><Relationship Id="rId4" Type="http://schemas.openxmlformats.org/officeDocument/2006/relationships/ctrlProp" Target="../ctrlProps/ctrlProp34.xml"/><Relationship Id="rId9" Type="http://schemas.openxmlformats.org/officeDocument/2006/relationships/ctrlProp" Target="../ctrlProps/ctrlProp39.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45"/>
  <sheetViews>
    <sheetView showRowColHeaders="0" tabSelected="1" workbookViewId="0">
      <selection activeCell="A26" sqref="A26"/>
    </sheetView>
  </sheetViews>
  <sheetFormatPr defaultColWidth="0" defaultRowHeight="15" customHeight="1" zeroHeight="1" x14ac:dyDescent="0.25"/>
  <cols>
    <col min="1" max="4" width="9.7109375" customWidth="1"/>
    <col min="5" max="13" width="9.140625" customWidth="1"/>
    <col min="14" max="14" width="8.140625" customWidth="1"/>
    <col min="15" max="15" width="0" hidden="1" customWidth="1"/>
    <col min="16" max="16384" width="9.140625" hidden="1"/>
  </cols>
  <sheetData>
    <row r="1" spans="1:14" x14ac:dyDescent="0.25">
      <c r="A1" s="41"/>
      <c r="B1" s="41"/>
      <c r="C1" s="41"/>
      <c r="D1" s="41"/>
      <c r="E1" s="41"/>
      <c r="F1" s="41"/>
      <c r="G1" s="41"/>
      <c r="H1" s="41"/>
      <c r="I1" s="41"/>
      <c r="J1" s="41"/>
      <c r="K1" s="41"/>
      <c r="L1" s="41"/>
      <c r="M1" s="41"/>
      <c r="N1" s="41"/>
    </row>
    <row r="2" spans="1:14" x14ac:dyDescent="0.25">
      <c r="A2" s="41"/>
      <c r="B2" s="41"/>
      <c r="C2" s="41"/>
      <c r="D2" s="41"/>
      <c r="E2" s="41"/>
      <c r="F2" s="41"/>
      <c r="G2" s="41"/>
      <c r="H2" s="41"/>
      <c r="I2" s="41"/>
      <c r="J2" s="41"/>
      <c r="K2" s="41"/>
      <c r="L2" s="41"/>
      <c r="M2" s="41"/>
      <c r="N2" s="41"/>
    </row>
    <row r="3" spans="1:14" x14ac:dyDescent="0.25">
      <c r="A3" s="41"/>
      <c r="B3" s="41"/>
      <c r="C3" s="41"/>
      <c r="D3" s="41"/>
      <c r="E3" s="41"/>
      <c r="F3" s="41"/>
      <c r="G3" s="41"/>
      <c r="H3" s="41"/>
      <c r="I3" s="41"/>
      <c r="J3" s="41"/>
      <c r="K3" s="41"/>
      <c r="L3" s="41"/>
      <c r="M3" s="41"/>
      <c r="N3" s="41"/>
    </row>
    <row r="4" spans="1:14" x14ac:dyDescent="0.25">
      <c r="A4" s="41"/>
      <c r="B4" s="41"/>
      <c r="C4" s="41"/>
      <c r="D4" s="41"/>
      <c r="E4" s="41"/>
      <c r="F4" s="41"/>
      <c r="G4" s="41"/>
      <c r="H4" s="41"/>
      <c r="I4" s="41"/>
      <c r="J4" s="41"/>
      <c r="K4" s="41"/>
      <c r="L4" s="41"/>
      <c r="M4" s="41"/>
      <c r="N4" s="41"/>
    </row>
    <row r="5" spans="1:14" x14ac:dyDescent="0.25">
      <c r="A5" s="41"/>
      <c r="B5" s="41"/>
      <c r="C5" s="41"/>
      <c r="D5" s="41"/>
      <c r="E5" s="41"/>
      <c r="F5" s="41"/>
      <c r="G5" s="41"/>
      <c r="H5" s="41"/>
      <c r="I5" s="41"/>
      <c r="J5" s="41"/>
      <c r="K5" s="41"/>
      <c r="L5" s="41"/>
      <c r="M5" s="41"/>
      <c r="N5" s="41"/>
    </row>
    <row r="6" spans="1:14" ht="10.5" customHeight="1" x14ac:dyDescent="0.25">
      <c r="A6" s="41"/>
      <c r="B6" s="41"/>
      <c r="C6" s="41"/>
      <c r="D6" s="41"/>
      <c r="E6" s="41"/>
      <c r="F6" s="41"/>
      <c r="G6" s="41"/>
      <c r="H6" s="41"/>
      <c r="I6" s="41"/>
      <c r="J6" s="41"/>
      <c r="K6" s="41"/>
      <c r="L6" s="41"/>
      <c r="M6" s="41"/>
      <c r="N6" s="41"/>
    </row>
    <row r="7" spans="1:14" ht="10.5" customHeight="1" x14ac:dyDescent="0.25">
      <c r="A7" s="41"/>
      <c r="B7" s="41"/>
      <c r="C7" s="41"/>
      <c r="D7" s="41"/>
      <c r="E7" s="41"/>
      <c r="F7" s="41"/>
      <c r="G7" s="41"/>
      <c r="H7" s="41"/>
      <c r="I7" s="41"/>
      <c r="J7" s="41"/>
      <c r="K7" s="41"/>
      <c r="L7" s="41"/>
      <c r="M7" s="41"/>
      <c r="N7" s="41"/>
    </row>
    <row r="8" spans="1:14" x14ac:dyDescent="0.25">
      <c r="A8" s="41"/>
      <c r="B8" s="41"/>
      <c r="C8" s="41"/>
      <c r="D8" s="41"/>
      <c r="E8" s="41"/>
      <c r="F8" s="41"/>
      <c r="G8" s="41"/>
      <c r="H8" s="41"/>
      <c r="I8" s="41"/>
      <c r="J8" s="41"/>
      <c r="K8" s="41"/>
      <c r="L8" s="41"/>
      <c r="M8" s="41"/>
      <c r="N8" s="41"/>
    </row>
    <row r="9" spans="1:14" x14ac:dyDescent="0.25">
      <c r="A9" s="41"/>
      <c r="B9" s="41"/>
      <c r="C9" s="41"/>
      <c r="D9" s="41"/>
      <c r="E9" s="41"/>
      <c r="F9" s="41"/>
      <c r="G9" s="41"/>
      <c r="H9" s="41"/>
      <c r="I9" s="41"/>
      <c r="J9" s="41"/>
      <c r="K9" s="41"/>
      <c r="L9" s="41"/>
      <c r="M9" s="41"/>
      <c r="N9" s="41"/>
    </row>
    <row r="10" spans="1:14" x14ac:dyDescent="0.25">
      <c r="A10" s="41"/>
      <c r="B10" s="41"/>
      <c r="C10" s="41"/>
      <c r="D10" s="41"/>
      <c r="E10" s="41"/>
      <c r="F10" s="41"/>
      <c r="G10" s="41"/>
      <c r="H10" s="41"/>
      <c r="I10" s="41"/>
      <c r="J10" s="41"/>
      <c r="K10" s="41"/>
      <c r="L10" s="41"/>
      <c r="M10" s="41"/>
      <c r="N10" s="41"/>
    </row>
    <row r="11" spans="1:14" x14ac:dyDescent="0.25">
      <c r="A11" s="41"/>
      <c r="B11" s="41"/>
      <c r="C11" s="41"/>
      <c r="D11" s="41"/>
      <c r="E11" s="41"/>
      <c r="F11" s="41"/>
      <c r="G11" s="41"/>
      <c r="H11" s="41"/>
      <c r="I11" s="41"/>
      <c r="J11" s="41"/>
      <c r="K11" s="41"/>
      <c r="L11" s="41"/>
      <c r="M11" s="41"/>
      <c r="N11" s="41"/>
    </row>
    <row r="12" spans="1:14" x14ac:dyDescent="0.25">
      <c r="A12" s="41"/>
      <c r="B12" s="41"/>
      <c r="C12" s="41"/>
      <c r="D12" s="41"/>
      <c r="E12" s="41"/>
      <c r="F12" s="41"/>
      <c r="G12" s="41"/>
      <c r="H12" s="41"/>
      <c r="I12" s="41"/>
      <c r="J12" s="41"/>
      <c r="K12" s="41"/>
      <c r="L12" s="41"/>
      <c r="M12" s="41"/>
      <c r="N12" s="41"/>
    </row>
    <row r="13" spans="1:14" x14ac:dyDescent="0.25">
      <c r="A13" s="41"/>
      <c r="B13" s="41"/>
      <c r="C13" s="41"/>
      <c r="D13" s="41"/>
      <c r="E13" s="41"/>
      <c r="F13" s="41"/>
      <c r="G13" s="41"/>
      <c r="H13" s="41"/>
      <c r="I13" s="41"/>
      <c r="J13" s="41"/>
      <c r="K13" s="41"/>
      <c r="L13" s="41"/>
      <c r="M13" s="41"/>
      <c r="N13" s="41"/>
    </row>
    <row r="14" spans="1:14" s="618" customFormat="1" ht="9" customHeight="1" x14ac:dyDescent="0.55000000000000004"/>
    <row r="15" spans="1:14" s="1201" customFormat="1" ht="36.75" customHeight="1" x14ac:dyDescent="0.25">
      <c r="A15" s="1201" t="s">
        <v>1291</v>
      </c>
    </row>
    <row r="16" spans="1:14" x14ac:dyDescent="0.25">
      <c r="A16" s="41"/>
      <c r="B16" s="41"/>
      <c r="C16" s="41"/>
      <c r="D16" s="41"/>
      <c r="E16" s="41"/>
      <c r="F16" s="41"/>
      <c r="G16" s="41"/>
      <c r="H16" s="41"/>
      <c r="I16" s="41"/>
      <c r="J16" s="41"/>
      <c r="K16" s="41"/>
      <c r="L16" s="41"/>
      <c r="M16" s="41"/>
      <c r="N16" s="41"/>
    </row>
    <row r="17" spans="1:14" x14ac:dyDescent="0.25">
      <c r="A17" s="41"/>
      <c r="B17" s="41"/>
      <c r="C17" s="41"/>
      <c r="D17" s="41"/>
      <c r="E17" s="41"/>
      <c r="F17" s="41"/>
      <c r="G17" s="41"/>
      <c r="H17" s="41"/>
      <c r="I17" s="41"/>
      <c r="J17" s="41"/>
      <c r="K17" s="41"/>
      <c r="L17" s="41"/>
      <c r="M17" s="41"/>
      <c r="N17" s="41"/>
    </row>
    <row r="18" spans="1:14" x14ac:dyDescent="0.25">
      <c r="A18" s="41"/>
      <c r="B18" s="41"/>
      <c r="C18" s="41"/>
      <c r="D18" s="41"/>
      <c r="E18" s="41"/>
      <c r="F18" s="41"/>
      <c r="G18" s="41"/>
      <c r="H18" s="41"/>
      <c r="I18" s="41"/>
      <c r="J18" s="41"/>
      <c r="K18" s="41"/>
      <c r="L18" s="41"/>
      <c r="M18" s="41"/>
      <c r="N18" s="41"/>
    </row>
    <row r="19" spans="1:14" x14ac:dyDescent="0.25">
      <c r="A19" s="41"/>
      <c r="B19" s="41"/>
      <c r="C19" s="41"/>
      <c r="D19" s="41"/>
      <c r="E19" s="41"/>
      <c r="F19" s="41"/>
      <c r="G19" s="41"/>
      <c r="H19" s="41"/>
      <c r="I19" s="41"/>
      <c r="J19" s="41"/>
      <c r="K19" s="41"/>
      <c r="L19" s="41"/>
      <c r="M19" s="41"/>
      <c r="N19" s="41"/>
    </row>
    <row r="20" spans="1:14" x14ac:dyDescent="0.25">
      <c r="A20" s="41"/>
      <c r="B20" s="41"/>
      <c r="C20" s="41"/>
      <c r="D20" s="41"/>
      <c r="E20" s="41"/>
      <c r="F20" s="41"/>
      <c r="G20" s="41"/>
      <c r="H20" s="41"/>
      <c r="I20" s="41"/>
      <c r="J20" s="41"/>
      <c r="K20" s="41"/>
      <c r="L20" s="41"/>
      <c r="M20" s="41"/>
      <c r="N20" s="41"/>
    </row>
    <row r="21" spans="1:14" x14ac:dyDescent="0.25">
      <c r="A21" s="41"/>
      <c r="B21" s="41"/>
      <c r="C21" s="41"/>
      <c r="D21" s="41"/>
      <c r="E21" s="41"/>
      <c r="F21" s="41"/>
      <c r="G21" s="41"/>
      <c r="H21" s="41"/>
      <c r="I21" s="41"/>
      <c r="J21" s="41"/>
      <c r="K21" s="41"/>
      <c r="L21" s="41"/>
      <c r="M21" s="41"/>
      <c r="N21" s="41"/>
    </row>
    <row r="22" spans="1:14" x14ac:dyDescent="0.25">
      <c r="A22" s="41"/>
      <c r="B22" s="41"/>
      <c r="C22" s="41"/>
      <c r="D22" s="41"/>
      <c r="E22" s="41"/>
      <c r="F22" s="41"/>
      <c r="G22" s="41"/>
      <c r="H22" s="41"/>
      <c r="I22" s="41"/>
      <c r="J22" s="41"/>
      <c r="K22" s="41"/>
      <c r="L22" s="41"/>
      <c r="M22" s="41"/>
      <c r="N22" s="41"/>
    </row>
    <row r="23" spans="1:14" x14ac:dyDescent="0.25">
      <c r="A23" s="41"/>
      <c r="B23" s="41"/>
      <c r="C23" s="41"/>
      <c r="D23" s="41"/>
      <c r="E23" s="41"/>
      <c r="F23" s="41"/>
      <c r="G23" s="41"/>
      <c r="H23" s="41"/>
      <c r="I23" s="41"/>
      <c r="J23" s="41"/>
      <c r="K23" s="41"/>
      <c r="L23" s="41"/>
      <c r="M23" s="41"/>
      <c r="N23" s="41"/>
    </row>
    <row r="24" spans="1:14" ht="18.75" customHeight="1" x14ac:dyDescent="0.25">
      <c r="A24" s="41"/>
      <c r="B24" s="41"/>
      <c r="C24" s="41"/>
      <c r="D24" s="41"/>
      <c r="E24" s="41"/>
      <c r="F24" s="41"/>
      <c r="G24" s="41"/>
      <c r="H24" s="41"/>
      <c r="I24" s="41"/>
      <c r="J24" s="41"/>
      <c r="K24" s="41"/>
      <c r="L24" s="41"/>
      <c r="M24" s="41"/>
      <c r="N24" s="41"/>
    </row>
    <row r="25" spans="1:14" ht="14.25" customHeight="1" x14ac:dyDescent="0.25">
      <c r="A25" s="1202" t="s">
        <v>2440</v>
      </c>
      <c r="B25" s="1202"/>
      <c r="C25" s="1202"/>
      <c r="D25" s="1202"/>
      <c r="E25" s="1202"/>
      <c r="F25" s="1202"/>
      <c r="G25" s="1202"/>
      <c r="H25" s="1202"/>
      <c r="I25" s="1202"/>
      <c r="J25" s="1202"/>
      <c r="K25" s="1202"/>
      <c r="L25" s="1202"/>
      <c r="M25" s="1202"/>
      <c r="N25" s="1202"/>
    </row>
    <row r="26" spans="1:14" ht="75" customHeight="1" x14ac:dyDescent="0.25">
      <c r="A26" s="43"/>
      <c r="B26" s="619"/>
      <c r="C26" s="619"/>
      <c r="D26" s="619"/>
      <c r="E26" s="619"/>
      <c r="F26" s="619"/>
      <c r="G26" s="619"/>
      <c r="H26" s="619"/>
      <c r="I26" s="619"/>
      <c r="J26" s="619"/>
      <c r="K26" s="619"/>
      <c r="L26" s="619"/>
      <c r="M26" s="619"/>
      <c r="N26" s="619"/>
    </row>
    <row r="27" spans="1:14" hidden="1" x14ac:dyDescent="0.25"/>
    <row r="28" spans="1:14" hidden="1" x14ac:dyDescent="0.25"/>
    <row r="29" spans="1:14" hidden="1" x14ac:dyDescent="0.25"/>
    <row r="30" spans="1:14" hidden="1" x14ac:dyDescent="0.25"/>
    <row r="31" spans="1:14" hidden="1" x14ac:dyDescent="0.25"/>
    <row r="32" spans="1:14"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sheetData>
  <sheetProtection password="DAFC" sheet="1" objects="1" scenarios="1" selectLockedCells="1"/>
  <mergeCells count="2">
    <mergeCell ref="A15:XFD15"/>
    <mergeCell ref="A25:N2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52"/>
  <sheetViews>
    <sheetView showRowColHeaders="0" zoomScale="90" zoomScaleNormal="90" workbookViewId="0">
      <pane ySplit="3" topLeftCell="A4" activePane="bottomLeft" state="frozen"/>
      <selection activeCell="L2" sqref="L2"/>
      <selection pane="bottomLeft" activeCell="L12" sqref="L12"/>
    </sheetView>
  </sheetViews>
  <sheetFormatPr defaultColWidth="0" defaultRowHeight="15" zeroHeight="1" x14ac:dyDescent="0.25"/>
  <cols>
    <col min="1" max="1" width="1.7109375" style="42" customWidth="1"/>
    <col min="2" max="2" width="5.7109375" style="42" customWidth="1"/>
    <col min="3" max="4" width="12.7109375" style="42" customWidth="1"/>
    <col min="5" max="6" width="10.7109375" style="42" customWidth="1"/>
    <col min="7" max="7" width="6.85546875" style="42" customWidth="1"/>
    <col min="8" max="8" width="7.140625" style="42" customWidth="1"/>
    <col min="9" max="12" width="10.7109375" style="42" customWidth="1"/>
    <col min="13" max="13" width="8.7109375" style="42" customWidth="1"/>
    <col min="14" max="15" width="9.7109375" style="42" customWidth="1"/>
    <col min="16" max="17" width="10.42578125" style="42" customWidth="1"/>
    <col min="18" max="18" width="6.7109375" style="42" customWidth="1"/>
    <col min="19" max="20" width="9.7109375" style="42" customWidth="1"/>
    <col min="21" max="22" width="10.42578125" style="42" customWidth="1"/>
    <col min="23" max="23" width="3.7109375" style="42" customWidth="1"/>
    <col min="24" max="27" width="0" style="42" hidden="1" customWidth="1"/>
    <col min="28" max="16384" width="9.140625" style="42" hidden="1"/>
  </cols>
  <sheetData>
    <row r="1" spans="1:23" ht="11.1" customHeight="1" x14ac:dyDescent="0.25">
      <c r="A1" s="1386" t="s">
        <v>2121</v>
      </c>
      <c r="B1" s="1386"/>
      <c r="C1" s="1386"/>
      <c r="D1" s="1386"/>
      <c r="E1" s="1386"/>
      <c r="F1" s="1386"/>
      <c r="G1" s="1386"/>
      <c r="H1" s="1386"/>
      <c r="I1" s="994"/>
      <c r="J1" s="994"/>
      <c r="K1" s="994"/>
      <c r="L1" s="994"/>
      <c r="M1" s="628"/>
      <c r="N1" s="1368" t="s">
        <v>721</v>
      </c>
      <c r="O1" s="1368"/>
      <c r="P1" s="1368"/>
      <c r="Q1" s="1368"/>
      <c r="R1" s="1368"/>
      <c r="S1" s="1368"/>
      <c r="T1" s="1368"/>
      <c r="U1" s="1368"/>
      <c r="V1" s="1368"/>
      <c r="W1" s="628"/>
    </row>
    <row r="2" spans="1:23" ht="11.1" customHeight="1" x14ac:dyDescent="0.25">
      <c r="A2" s="1386"/>
      <c r="B2" s="1386"/>
      <c r="C2" s="1386"/>
      <c r="D2" s="1386"/>
      <c r="E2" s="1386"/>
      <c r="F2" s="1386"/>
      <c r="G2" s="1386"/>
      <c r="H2" s="1386"/>
      <c r="I2" s="994"/>
      <c r="J2" s="994"/>
      <c r="K2" s="994"/>
      <c r="L2" s="994"/>
      <c r="M2" s="628"/>
      <c r="N2" s="1368"/>
      <c r="O2" s="1368"/>
      <c r="P2" s="1368"/>
      <c r="Q2" s="1368"/>
      <c r="R2" s="1368"/>
      <c r="S2" s="1368"/>
      <c r="T2" s="1368"/>
      <c r="U2" s="1368"/>
      <c r="V2" s="1368"/>
      <c r="W2" s="628"/>
    </row>
    <row r="3" spans="1:23" ht="11.1" customHeight="1" x14ac:dyDescent="0.25">
      <c r="A3" s="1386"/>
      <c r="B3" s="1386"/>
      <c r="C3" s="1386"/>
      <c r="D3" s="1386"/>
      <c r="E3" s="1386"/>
      <c r="F3" s="1386"/>
      <c r="G3" s="1386"/>
      <c r="H3" s="1386"/>
      <c r="I3" s="994"/>
      <c r="J3" s="994"/>
      <c r="K3" s="994"/>
      <c r="L3" s="994"/>
      <c r="M3" s="101"/>
      <c r="N3" s="1368"/>
      <c r="O3" s="1368"/>
      <c r="P3" s="1368"/>
      <c r="Q3" s="1368"/>
      <c r="R3" s="1368"/>
      <c r="S3" s="1368"/>
      <c r="T3" s="1368"/>
      <c r="U3" s="1368"/>
      <c r="V3" s="1368"/>
      <c r="W3" s="380"/>
    </row>
    <row r="4" spans="1:23" ht="18" customHeight="1" x14ac:dyDescent="0.25">
      <c r="A4" s="23"/>
      <c r="B4" s="25"/>
      <c r="C4" s="26"/>
      <c r="D4" s="26"/>
      <c r="E4" s="26"/>
      <c r="F4" s="26"/>
      <c r="G4" s="26"/>
      <c r="H4" s="28"/>
      <c r="I4" s="41"/>
      <c r="J4" s="28"/>
      <c r="K4" s="41"/>
      <c r="L4" s="41"/>
      <c r="M4" s="41"/>
      <c r="N4" s="23"/>
      <c r="O4" s="23"/>
      <c r="P4" s="23"/>
      <c r="Q4" s="23"/>
      <c r="R4" s="23"/>
      <c r="S4" s="23"/>
      <c r="T4" s="23"/>
      <c r="U4" s="23"/>
      <c r="V4" s="23"/>
      <c r="W4" s="23"/>
    </row>
    <row r="5" spans="1:23" ht="24" customHeight="1" x14ac:dyDescent="0.25">
      <c r="A5" s="24"/>
      <c r="B5" s="1387" t="s">
        <v>57</v>
      </c>
      <c r="C5" s="1388"/>
      <c r="D5" s="1388"/>
      <c r="E5" s="1071" t="s">
        <v>223</v>
      </c>
      <c r="F5" s="1072" t="s">
        <v>522</v>
      </c>
      <c r="G5" s="29"/>
      <c r="H5" s="1389" t="s">
        <v>0</v>
      </c>
      <c r="I5" s="1390"/>
      <c r="J5" s="1390"/>
      <c r="K5" s="1050" t="s">
        <v>223</v>
      </c>
      <c r="L5" s="1051" t="s">
        <v>522</v>
      </c>
      <c r="M5" s="41"/>
      <c r="N5" s="41"/>
      <c r="O5" s="41"/>
      <c r="P5" s="41"/>
      <c r="Q5" s="41"/>
      <c r="R5" s="23"/>
      <c r="S5" s="27"/>
      <c r="T5" s="27"/>
      <c r="U5" s="27"/>
      <c r="V5" s="27"/>
      <c r="W5" s="27"/>
    </row>
    <row r="6" spans="1:23" x14ac:dyDescent="0.25">
      <c r="A6" s="24"/>
      <c r="B6" s="1067" t="s">
        <v>62</v>
      </c>
      <c r="C6" s="1375" t="s">
        <v>58</v>
      </c>
      <c r="D6" s="1375"/>
      <c r="E6" s="1053">
        <v>5</v>
      </c>
      <c r="F6" s="1054">
        <f>Energy!H5</f>
        <v>0</v>
      </c>
      <c r="G6" s="29"/>
      <c r="H6" s="1052" t="s">
        <v>60</v>
      </c>
      <c r="I6" s="1375" t="s">
        <v>61</v>
      </c>
      <c r="J6" s="1375"/>
      <c r="K6" s="1053">
        <v>5</v>
      </c>
      <c r="L6" s="1054">
        <f>'Local Environment'!H5</f>
        <v>0</v>
      </c>
      <c r="M6" s="41"/>
      <c r="N6" s="41"/>
      <c r="O6" s="41"/>
      <c r="P6" s="41"/>
      <c r="Q6" s="41"/>
      <c r="R6" s="23"/>
      <c r="S6" s="27"/>
      <c r="T6" s="27"/>
      <c r="U6" s="27"/>
      <c r="V6" s="27"/>
      <c r="W6" s="27"/>
    </row>
    <row r="7" spans="1:23" x14ac:dyDescent="0.25">
      <c r="A7" s="24"/>
      <c r="B7" s="1068" t="s">
        <v>66</v>
      </c>
      <c r="C7" s="1371" t="s">
        <v>51</v>
      </c>
      <c r="D7" s="1371"/>
      <c r="E7" s="1049">
        <v>4</v>
      </c>
      <c r="F7" s="1056">
        <f>Energy!H6</f>
        <v>0</v>
      </c>
      <c r="G7" s="29"/>
      <c r="H7" s="1055" t="s">
        <v>64</v>
      </c>
      <c r="I7" s="1048" t="s">
        <v>65</v>
      </c>
      <c r="J7" s="1048"/>
      <c r="K7" s="1049">
        <v>2</v>
      </c>
      <c r="L7" s="1056">
        <f>'Local Environment'!H6</f>
        <v>0</v>
      </c>
      <c r="M7" s="41"/>
      <c r="N7" s="41"/>
      <c r="O7" s="41"/>
      <c r="P7" s="41"/>
      <c r="Q7" s="41"/>
      <c r="R7" s="23"/>
      <c r="S7" s="27"/>
      <c r="T7" s="27"/>
      <c r="U7" s="27"/>
      <c r="V7" s="27"/>
      <c r="W7" s="27"/>
    </row>
    <row r="8" spans="1:23" x14ac:dyDescent="0.25">
      <c r="A8" s="24"/>
      <c r="B8" s="1068" t="s">
        <v>70</v>
      </c>
      <c r="C8" s="1371" t="s">
        <v>761</v>
      </c>
      <c r="D8" s="1371"/>
      <c r="E8" s="1049">
        <v>6</v>
      </c>
      <c r="F8" s="1056">
        <f>Energy!H7</f>
        <v>0</v>
      </c>
      <c r="G8" s="29"/>
      <c r="H8" s="1055" t="s">
        <v>68</v>
      </c>
      <c r="I8" s="1371" t="s">
        <v>132</v>
      </c>
      <c r="J8" s="1371"/>
      <c r="K8" s="1049">
        <v>2</v>
      </c>
      <c r="L8" s="1056">
        <f>'Local Environment'!H7</f>
        <v>0</v>
      </c>
      <c r="M8" s="41"/>
      <c r="N8" s="41"/>
      <c r="O8" s="41"/>
      <c r="P8" s="41"/>
      <c r="Q8" s="41"/>
      <c r="R8" s="23"/>
      <c r="S8" s="27"/>
      <c r="T8" s="27"/>
      <c r="U8" s="27"/>
      <c r="V8" s="27"/>
      <c r="W8" s="27"/>
    </row>
    <row r="9" spans="1:23" x14ac:dyDescent="0.25">
      <c r="A9" s="24"/>
      <c r="B9" s="1068" t="s">
        <v>73</v>
      </c>
      <c r="C9" s="1371" t="s">
        <v>74</v>
      </c>
      <c r="D9" s="1371"/>
      <c r="E9" s="1049">
        <v>3</v>
      </c>
      <c r="F9" s="1056">
        <f>Energy!H8</f>
        <v>0</v>
      </c>
      <c r="G9" s="29"/>
      <c r="H9" s="1055" t="s">
        <v>72</v>
      </c>
      <c r="I9" s="1371" t="s">
        <v>69</v>
      </c>
      <c r="J9" s="1371"/>
      <c r="K9" s="1049">
        <v>2</v>
      </c>
      <c r="L9" s="1056">
        <f>'Local Environment'!H8</f>
        <v>0</v>
      </c>
      <c r="M9" s="41"/>
      <c r="N9" s="41"/>
      <c r="O9" s="41"/>
      <c r="P9" s="41"/>
      <c r="Q9" s="41"/>
      <c r="R9" s="23"/>
      <c r="S9" s="27"/>
      <c r="T9" s="27"/>
      <c r="U9" s="27"/>
      <c r="V9" s="27"/>
      <c r="W9" s="27"/>
    </row>
    <row r="10" spans="1:23" x14ac:dyDescent="0.25">
      <c r="A10" s="24"/>
      <c r="B10" s="1068" t="s">
        <v>77</v>
      </c>
      <c r="C10" s="1371" t="s">
        <v>1000</v>
      </c>
      <c r="D10" s="1371"/>
      <c r="E10" s="1049">
        <v>2</v>
      </c>
      <c r="F10" s="1056">
        <f>Energy!H9</f>
        <v>0</v>
      </c>
      <c r="G10" s="29"/>
      <c r="H10" s="1055" t="s">
        <v>76</v>
      </c>
      <c r="I10" s="1371" t="s">
        <v>138</v>
      </c>
      <c r="J10" s="1371"/>
      <c r="K10" s="1049">
        <v>2</v>
      </c>
      <c r="L10" s="1056">
        <f>'Local Environment'!H9</f>
        <v>0</v>
      </c>
      <c r="M10" s="41"/>
      <c r="N10" s="41"/>
      <c r="O10" s="41"/>
      <c r="P10" s="41"/>
      <c r="Q10" s="41"/>
      <c r="R10" s="23"/>
      <c r="S10" s="27"/>
      <c r="T10" s="27"/>
      <c r="U10" s="27"/>
      <c r="V10" s="27"/>
      <c r="W10" s="27"/>
    </row>
    <row r="11" spans="1:23" x14ac:dyDescent="0.25">
      <c r="A11" s="24"/>
      <c r="B11" s="1068" t="s">
        <v>81</v>
      </c>
      <c r="C11" s="1371" t="s">
        <v>78</v>
      </c>
      <c r="D11" s="1371"/>
      <c r="E11" s="1049">
        <v>3</v>
      </c>
      <c r="F11" s="1056">
        <f>Energy!H10</f>
        <v>0</v>
      </c>
      <c r="G11" s="29"/>
      <c r="H11" s="1055" t="s">
        <v>80</v>
      </c>
      <c r="I11" s="1371" t="s">
        <v>249</v>
      </c>
      <c r="J11" s="1371"/>
      <c r="K11" s="1049">
        <v>1</v>
      </c>
      <c r="L11" s="1056">
        <f>'Local Environment'!H10</f>
        <v>0</v>
      </c>
      <c r="M11" s="41"/>
      <c r="N11" s="41"/>
      <c r="O11" s="41"/>
      <c r="P11" s="41"/>
      <c r="Q11" s="41"/>
      <c r="R11" s="23"/>
      <c r="S11" s="27"/>
      <c r="T11" s="27"/>
      <c r="U11" s="27"/>
      <c r="V11" s="27"/>
      <c r="W11" s="27"/>
    </row>
    <row r="12" spans="1:23" x14ac:dyDescent="0.25">
      <c r="A12" s="24"/>
      <c r="B12" s="1068" t="s">
        <v>102</v>
      </c>
      <c r="C12" s="1371" t="s">
        <v>1081</v>
      </c>
      <c r="D12" s="1371"/>
      <c r="E12" s="1049">
        <v>1</v>
      </c>
      <c r="F12" s="1056">
        <f>Energy!H11</f>
        <v>0</v>
      </c>
      <c r="G12" s="29"/>
      <c r="H12" s="1055" t="s">
        <v>131</v>
      </c>
      <c r="I12" s="1371" t="s">
        <v>103</v>
      </c>
      <c r="J12" s="1371"/>
      <c r="K12" s="1049">
        <v>1</v>
      </c>
      <c r="L12" s="1056">
        <f>'Local Environment'!H11</f>
        <v>0</v>
      </c>
      <c r="M12" s="41"/>
      <c r="N12" s="41"/>
      <c r="O12" s="41"/>
      <c r="P12" s="41"/>
      <c r="Q12" s="41"/>
      <c r="R12" s="23"/>
      <c r="S12" s="27"/>
      <c r="T12" s="27"/>
      <c r="U12" s="27"/>
      <c r="V12" s="27"/>
      <c r="W12" s="27"/>
    </row>
    <row r="13" spans="1:23" x14ac:dyDescent="0.25">
      <c r="A13" s="24"/>
      <c r="B13" s="1057" t="s">
        <v>79</v>
      </c>
      <c r="C13" s="1374" t="s">
        <v>393</v>
      </c>
      <c r="D13" s="1374"/>
      <c r="E13" s="1058">
        <v>5</v>
      </c>
      <c r="F13" s="1059">
        <f>Energy!H12</f>
        <v>0</v>
      </c>
      <c r="G13" s="41"/>
      <c r="H13" s="1055" t="s">
        <v>160</v>
      </c>
      <c r="I13" s="1371" t="s">
        <v>161</v>
      </c>
      <c r="J13" s="1371"/>
      <c r="K13" s="1049">
        <v>1</v>
      </c>
      <c r="L13" s="1056">
        <f>'Local Environment'!H12</f>
        <v>0</v>
      </c>
      <c r="M13" s="41"/>
      <c r="N13" s="41"/>
      <c r="O13" s="41"/>
      <c r="P13" s="41"/>
      <c r="Q13" s="41"/>
      <c r="R13" s="23"/>
      <c r="S13" s="27"/>
      <c r="T13" s="27"/>
      <c r="U13" s="27"/>
      <c r="V13" s="27"/>
      <c r="W13" s="27"/>
    </row>
    <row r="14" spans="1:23" ht="15" customHeight="1" x14ac:dyDescent="0.25">
      <c r="A14" s="24"/>
      <c r="B14" s="27"/>
      <c r="C14" s="27"/>
      <c r="D14" s="1060" t="s">
        <v>82</v>
      </c>
      <c r="E14" s="1061">
        <f>SUM(E6:E13)</f>
        <v>29</v>
      </c>
      <c r="F14" s="1062">
        <f>SUM(F6:F13)</f>
        <v>0</v>
      </c>
      <c r="G14" s="41"/>
      <c r="H14" s="1057" t="s">
        <v>79</v>
      </c>
      <c r="I14" s="1374" t="s">
        <v>393</v>
      </c>
      <c r="J14" s="1374"/>
      <c r="K14" s="1058">
        <v>1</v>
      </c>
      <c r="L14" s="1059">
        <f>'Local Environment'!H13</f>
        <v>0</v>
      </c>
      <c r="M14" s="41"/>
      <c r="N14" s="41"/>
      <c r="O14" s="41"/>
      <c r="P14" s="41"/>
      <c r="Q14" s="41"/>
      <c r="R14" s="23"/>
      <c r="S14" s="27"/>
      <c r="T14" s="27"/>
      <c r="U14" s="27"/>
      <c r="V14" s="27"/>
      <c r="W14" s="27"/>
    </row>
    <row r="15" spans="1:23" x14ac:dyDescent="0.25">
      <c r="A15" s="24"/>
      <c r="B15" s="27"/>
      <c r="C15" s="27"/>
      <c r="D15" s="27"/>
      <c r="E15" s="27"/>
      <c r="F15" s="27"/>
      <c r="G15" s="41"/>
      <c r="H15" s="23"/>
      <c r="I15" s="23"/>
      <c r="J15" s="1060" t="s">
        <v>82</v>
      </c>
      <c r="K15" s="1061">
        <f>SUM(K6:K14)</f>
        <v>17</v>
      </c>
      <c r="L15" s="1062">
        <f>SUM(L6:L14)</f>
        <v>0</v>
      </c>
      <c r="M15" s="41"/>
      <c r="N15" s="41"/>
      <c r="O15" s="41"/>
      <c r="P15" s="41"/>
      <c r="Q15" s="41"/>
      <c r="R15" s="23"/>
      <c r="S15" s="27"/>
      <c r="T15" s="27"/>
      <c r="U15" s="27"/>
      <c r="V15" s="27"/>
      <c r="W15" s="27"/>
    </row>
    <row r="16" spans="1:23" ht="15" customHeight="1" x14ac:dyDescent="0.25">
      <c r="A16" s="24"/>
      <c r="B16" s="27"/>
      <c r="C16" s="27"/>
      <c r="D16" s="27"/>
      <c r="E16" s="27"/>
      <c r="F16" s="27"/>
      <c r="G16" s="41"/>
      <c r="H16" s="41"/>
      <c r="I16" s="41"/>
      <c r="J16" s="41"/>
      <c r="K16" s="41"/>
      <c r="L16" s="41"/>
      <c r="M16" s="41"/>
      <c r="N16" s="41"/>
      <c r="O16" s="41"/>
      <c r="P16" s="41"/>
      <c r="Q16" s="41"/>
      <c r="R16" s="23"/>
      <c r="S16" s="27"/>
      <c r="T16" s="27"/>
      <c r="U16" s="27"/>
      <c r="V16" s="27"/>
      <c r="W16" s="27"/>
    </row>
    <row r="17" spans="1:23" ht="24" x14ac:dyDescent="0.25">
      <c r="A17" s="24"/>
      <c r="B17" s="1384" t="s">
        <v>34</v>
      </c>
      <c r="C17" s="1385"/>
      <c r="D17" s="1385"/>
      <c r="E17" s="1069" t="s">
        <v>223</v>
      </c>
      <c r="F17" s="1070" t="s">
        <v>522</v>
      </c>
      <c r="G17" s="41"/>
      <c r="H17" s="1391" t="s">
        <v>11</v>
      </c>
      <c r="I17" s="1392"/>
      <c r="J17" s="1392"/>
      <c r="K17" s="1063" t="s">
        <v>223</v>
      </c>
      <c r="L17" s="1064" t="s">
        <v>522</v>
      </c>
      <c r="M17" s="41"/>
      <c r="N17" s="41"/>
      <c r="O17" s="41"/>
      <c r="P17" s="41"/>
      <c r="Q17" s="41"/>
      <c r="R17" s="23"/>
      <c r="S17" s="27"/>
      <c r="T17" s="27"/>
      <c r="U17" s="27"/>
      <c r="V17" s="27"/>
      <c r="W17" s="27"/>
    </row>
    <row r="18" spans="1:23" ht="15" customHeight="1" x14ac:dyDescent="0.25">
      <c r="A18" s="24"/>
      <c r="B18" s="1067" t="s">
        <v>88</v>
      </c>
      <c r="C18" s="1375" t="s">
        <v>89</v>
      </c>
      <c r="D18" s="1375"/>
      <c r="E18" s="1053">
        <v>5</v>
      </c>
      <c r="F18" s="1054">
        <f>Water!H6</f>
        <v>0</v>
      </c>
      <c r="G18" s="41"/>
      <c r="H18" s="1052" t="s">
        <v>83</v>
      </c>
      <c r="I18" s="1375" t="s">
        <v>84</v>
      </c>
      <c r="J18" s="1375"/>
      <c r="K18" s="1053">
        <v>2</v>
      </c>
      <c r="L18" s="1054">
        <f>'Health &amp; Comfort'!H6</f>
        <v>0</v>
      </c>
      <c r="M18" s="41"/>
      <c r="N18" s="41"/>
      <c r="O18" s="41"/>
      <c r="P18" s="41"/>
      <c r="Q18" s="41"/>
      <c r="R18" s="23"/>
      <c r="S18" s="27"/>
      <c r="T18" s="27"/>
      <c r="U18" s="27"/>
      <c r="V18" s="27"/>
      <c r="W18" s="27"/>
    </row>
    <row r="19" spans="1:23" x14ac:dyDescent="0.25">
      <c r="A19" s="24"/>
      <c r="B19" s="1068" t="s">
        <v>93</v>
      </c>
      <c r="C19" s="1371" t="s">
        <v>94</v>
      </c>
      <c r="D19" s="1371"/>
      <c r="E19" s="1049">
        <v>2</v>
      </c>
      <c r="F19" s="1056">
        <f>Water!H7</f>
        <v>0</v>
      </c>
      <c r="G19" s="41"/>
      <c r="H19" s="1055" t="s">
        <v>85</v>
      </c>
      <c r="I19" s="1371" t="s">
        <v>86</v>
      </c>
      <c r="J19" s="1371"/>
      <c r="K19" s="1049">
        <v>1</v>
      </c>
      <c r="L19" s="1056">
        <f>'Health &amp; Comfort'!H7</f>
        <v>0</v>
      </c>
      <c r="M19" s="41"/>
      <c r="N19" s="41"/>
      <c r="O19" s="41"/>
      <c r="P19" s="41"/>
      <c r="Q19" s="41"/>
      <c r="R19" s="23"/>
      <c r="S19" s="27"/>
      <c r="T19" s="27"/>
      <c r="U19" s="27"/>
      <c r="V19" s="27"/>
      <c r="W19" s="27"/>
    </row>
    <row r="20" spans="1:23" ht="15" customHeight="1" x14ac:dyDescent="0.25">
      <c r="A20" s="24"/>
      <c r="B20" s="1068" t="s">
        <v>97</v>
      </c>
      <c r="C20" s="1371" t="s">
        <v>159</v>
      </c>
      <c r="D20" s="1371"/>
      <c r="E20" s="1049">
        <v>1</v>
      </c>
      <c r="F20" s="1056">
        <f>Water!H8</f>
        <v>0</v>
      </c>
      <c r="G20" s="41"/>
      <c r="H20" s="1055" t="s">
        <v>90</v>
      </c>
      <c r="I20" s="1371" t="s">
        <v>2100</v>
      </c>
      <c r="J20" s="1371"/>
      <c r="K20" s="1049">
        <v>4</v>
      </c>
      <c r="L20" s="1056">
        <f>'Health &amp; Comfort'!H8</f>
        <v>0</v>
      </c>
      <c r="M20" s="41"/>
      <c r="N20" s="41"/>
      <c r="O20" s="41"/>
      <c r="P20" s="41"/>
      <c r="Q20" s="41"/>
      <c r="R20" s="23"/>
      <c r="S20" s="27"/>
      <c r="T20" s="27"/>
      <c r="U20" s="27"/>
      <c r="V20" s="27"/>
      <c r="W20" s="27"/>
    </row>
    <row r="21" spans="1:23" ht="15" customHeight="1" x14ac:dyDescent="0.25">
      <c r="A21" s="24"/>
      <c r="B21" s="1057" t="s">
        <v>79</v>
      </c>
      <c r="C21" s="1374" t="s">
        <v>393</v>
      </c>
      <c r="D21" s="1374"/>
      <c r="E21" s="1058">
        <v>4</v>
      </c>
      <c r="F21" s="1059">
        <f>Water!H9</f>
        <v>0</v>
      </c>
      <c r="G21" s="41"/>
      <c r="H21" s="1055" t="s">
        <v>95</v>
      </c>
      <c r="I21" s="1371" t="s">
        <v>98</v>
      </c>
      <c r="J21" s="1371"/>
      <c r="K21" s="1049">
        <v>3</v>
      </c>
      <c r="L21" s="1056">
        <f>'Health &amp; Comfort'!H9</f>
        <v>0</v>
      </c>
      <c r="M21" s="41"/>
      <c r="N21" s="41"/>
      <c r="O21" s="41"/>
      <c r="P21" s="41"/>
      <c r="Q21" s="41"/>
      <c r="R21" s="23"/>
      <c r="S21" s="27"/>
      <c r="T21" s="27"/>
      <c r="U21" s="27"/>
      <c r="V21" s="27"/>
      <c r="W21" s="27"/>
    </row>
    <row r="22" spans="1:23" x14ac:dyDescent="0.25">
      <c r="A22" s="24"/>
      <c r="C22" s="24"/>
      <c r="D22" s="1060" t="s">
        <v>82</v>
      </c>
      <c r="E22" s="1061">
        <f>SUM(E18:E21)</f>
        <v>12</v>
      </c>
      <c r="F22" s="1062">
        <f>SUM(F18:F21)</f>
        <v>0</v>
      </c>
      <c r="G22" s="41"/>
      <c r="H22" s="1055" t="s">
        <v>806</v>
      </c>
      <c r="I22" s="1371" t="s">
        <v>807</v>
      </c>
      <c r="J22" s="1371"/>
      <c r="K22" s="1049">
        <v>1</v>
      </c>
      <c r="L22" s="1056">
        <f>'Health &amp; Comfort'!H10</f>
        <v>0</v>
      </c>
      <c r="M22" s="41"/>
      <c r="N22" s="27"/>
      <c r="O22" s="27"/>
      <c r="P22" s="27"/>
      <c r="Q22" s="27"/>
      <c r="R22" s="27"/>
      <c r="S22" s="27"/>
      <c r="T22" s="27"/>
      <c r="U22" s="27"/>
      <c r="V22" s="27"/>
      <c r="W22" s="27"/>
    </row>
    <row r="23" spans="1:23" ht="15" customHeight="1" x14ac:dyDescent="0.25">
      <c r="A23" s="24"/>
      <c r="B23" s="24"/>
      <c r="C23" s="24"/>
      <c r="D23" s="24"/>
      <c r="E23" s="24"/>
      <c r="F23" s="24"/>
      <c r="G23" s="41"/>
      <c r="H23" s="1057" t="s">
        <v>79</v>
      </c>
      <c r="I23" s="1374" t="s">
        <v>393</v>
      </c>
      <c r="J23" s="1374"/>
      <c r="K23" s="1058">
        <v>3</v>
      </c>
      <c r="L23" s="1059">
        <f>'Health &amp; Comfort'!H11</f>
        <v>0</v>
      </c>
      <c r="M23" s="41"/>
      <c r="N23" s="27"/>
      <c r="O23" s="27"/>
      <c r="P23" s="27"/>
      <c r="Q23" s="27"/>
      <c r="R23" s="27"/>
      <c r="S23" s="27"/>
      <c r="T23" s="27"/>
      <c r="U23" s="27"/>
      <c r="V23" s="27"/>
      <c r="W23" s="27"/>
    </row>
    <row r="24" spans="1:23" x14ac:dyDescent="0.25">
      <c r="A24" s="24"/>
      <c r="B24" s="24"/>
      <c r="C24" s="24"/>
      <c r="D24" s="24"/>
      <c r="E24" s="24"/>
      <c r="F24" s="24"/>
      <c r="G24" s="41"/>
      <c r="H24" s="27"/>
      <c r="I24" s="41"/>
      <c r="J24" s="1060" t="s">
        <v>82</v>
      </c>
      <c r="K24" s="1061">
        <f>SUM(K18:K23)</f>
        <v>14</v>
      </c>
      <c r="L24" s="1062">
        <f>SUM(L18:L23)</f>
        <v>0</v>
      </c>
      <c r="M24" s="41"/>
      <c r="N24" s="27"/>
      <c r="O24" s="27"/>
      <c r="P24" s="27"/>
      <c r="Q24" s="27"/>
      <c r="R24" s="27"/>
      <c r="S24" s="27"/>
      <c r="T24" s="27"/>
      <c r="U24" s="27"/>
      <c r="V24" s="27"/>
      <c r="W24" s="27"/>
    </row>
    <row r="25" spans="1:23" ht="15" customHeight="1" x14ac:dyDescent="0.25">
      <c r="A25" s="24"/>
      <c r="B25" s="24"/>
      <c r="C25" s="24"/>
      <c r="D25" s="24"/>
      <c r="E25" s="24"/>
      <c r="F25" s="24"/>
      <c r="G25" s="27"/>
      <c r="H25" s="28"/>
      <c r="I25" s="41"/>
      <c r="J25" s="41"/>
      <c r="K25" s="41"/>
      <c r="L25" s="23"/>
      <c r="M25" s="41"/>
      <c r="N25" s="38"/>
      <c r="O25" s="38"/>
      <c r="P25" s="38"/>
      <c r="Q25" s="38"/>
      <c r="R25" s="38"/>
      <c r="S25" s="38"/>
      <c r="T25" s="27"/>
      <c r="U25" s="27"/>
      <c r="V25" s="27"/>
      <c r="W25" s="27"/>
    </row>
    <row r="26" spans="1:23" ht="24" customHeight="1" x14ac:dyDescent="0.25">
      <c r="A26" s="24"/>
      <c r="B26" s="1369" t="s">
        <v>210</v>
      </c>
      <c r="C26" s="1370"/>
      <c r="D26" s="1370"/>
      <c r="E26" s="1081" t="s">
        <v>223</v>
      </c>
      <c r="F26" s="1082" t="s">
        <v>522</v>
      </c>
      <c r="G26" s="27"/>
      <c r="H26" s="1382" t="s">
        <v>143</v>
      </c>
      <c r="I26" s="1383"/>
      <c r="J26" s="1383"/>
      <c r="K26" s="1065" t="s">
        <v>223</v>
      </c>
      <c r="L26" s="1066" t="s">
        <v>522</v>
      </c>
      <c r="M26" s="41"/>
      <c r="N26" s="38"/>
      <c r="O26" s="38"/>
      <c r="P26" s="38"/>
      <c r="Q26" s="38"/>
      <c r="R26" s="38"/>
      <c r="S26" s="38"/>
      <c r="T26" s="27"/>
      <c r="U26" s="27"/>
      <c r="V26" s="27"/>
      <c r="W26" s="27"/>
    </row>
    <row r="27" spans="1:23" ht="16.5" customHeight="1" x14ac:dyDescent="0.25">
      <c r="A27" s="24"/>
      <c r="B27" s="1067" t="s">
        <v>59</v>
      </c>
      <c r="C27" s="1375" t="s">
        <v>1933</v>
      </c>
      <c r="D27" s="1375"/>
      <c r="E27" s="1053">
        <v>3</v>
      </c>
      <c r="F27" s="1054">
        <f ca="1">Materials!H6</f>
        <v>0</v>
      </c>
      <c r="G27" s="27"/>
      <c r="H27" s="1067" t="s">
        <v>144</v>
      </c>
      <c r="I27" s="1375" t="s">
        <v>87</v>
      </c>
      <c r="J27" s="1375"/>
      <c r="K27" s="1053">
        <v>1</v>
      </c>
      <c r="L27" s="1054">
        <f>'Community &amp; Management'!H6</f>
        <v>0</v>
      </c>
      <c r="M27" s="41"/>
      <c r="N27" s="38"/>
      <c r="O27" s="38"/>
      <c r="P27" s="38"/>
      <c r="Q27" s="38"/>
      <c r="R27" s="38"/>
      <c r="S27" s="38"/>
      <c r="T27" s="27"/>
      <c r="U27" s="27"/>
      <c r="V27" s="27"/>
      <c r="W27" s="27"/>
    </row>
    <row r="28" spans="1:23" ht="15" customHeight="1" x14ac:dyDescent="0.25">
      <c r="A28" s="24"/>
      <c r="B28" s="1068" t="s">
        <v>63</v>
      </c>
      <c r="C28" s="1371" t="s">
        <v>1018</v>
      </c>
      <c r="D28" s="1371"/>
      <c r="E28" s="1075">
        <v>3</v>
      </c>
      <c r="F28" s="1056">
        <f ca="1">Materials!H7</f>
        <v>0</v>
      </c>
      <c r="G28" s="27"/>
      <c r="H28" s="1068" t="s">
        <v>145</v>
      </c>
      <c r="I28" s="1371" t="s">
        <v>92</v>
      </c>
      <c r="J28" s="1371"/>
      <c r="K28" s="1049">
        <v>5</v>
      </c>
      <c r="L28" s="1056">
        <f>'Community &amp; Management'!H7</f>
        <v>0</v>
      </c>
      <c r="M28" s="41"/>
      <c r="N28" s="38"/>
      <c r="O28" s="38"/>
      <c r="P28" s="38"/>
      <c r="Q28" s="38"/>
      <c r="R28" s="38"/>
      <c r="S28" s="38"/>
      <c r="T28" s="27"/>
      <c r="U28" s="27"/>
      <c r="V28" s="27"/>
      <c r="W28" s="27"/>
    </row>
    <row r="29" spans="1:23" ht="16.5" customHeight="1" x14ac:dyDescent="0.25">
      <c r="A29" s="24"/>
      <c r="B29" s="1068" t="s">
        <v>67</v>
      </c>
      <c r="C29" s="1371" t="s">
        <v>1936</v>
      </c>
      <c r="D29" s="1371"/>
      <c r="E29" s="1075">
        <v>2</v>
      </c>
      <c r="F29" s="1056">
        <f>Materials!H8</f>
        <v>0</v>
      </c>
      <c r="G29" s="27"/>
      <c r="H29" s="1068" t="s">
        <v>146</v>
      </c>
      <c r="I29" s="1371" t="s">
        <v>96</v>
      </c>
      <c r="J29" s="1371"/>
      <c r="K29" s="1049">
        <v>1</v>
      </c>
      <c r="L29" s="1056">
        <f>'Community &amp; Management'!H8</f>
        <v>0</v>
      </c>
      <c r="M29" s="41"/>
      <c r="N29" s="1378" t="s">
        <v>224</v>
      </c>
      <c r="O29" s="1378"/>
      <c r="P29" s="1378"/>
      <c r="Q29" s="1378"/>
      <c r="R29" s="27"/>
      <c r="S29" s="1378" t="s">
        <v>605</v>
      </c>
      <c r="T29" s="1378"/>
      <c r="U29" s="1378"/>
      <c r="V29" s="1378"/>
      <c r="W29" s="27"/>
    </row>
    <row r="30" spans="1:23" ht="16.5" customHeight="1" x14ac:dyDescent="0.25">
      <c r="A30" s="24"/>
      <c r="B30" s="1068" t="s">
        <v>71</v>
      </c>
      <c r="C30" s="1371" t="s">
        <v>1934</v>
      </c>
      <c r="D30" s="1371"/>
      <c r="E30" s="1075">
        <v>2</v>
      </c>
      <c r="F30" s="1056">
        <f ca="1">Materials!H9</f>
        <v>0</v>
      </c>
      <c r="G30" s="27"/>
      <c r="H30" s="1057" t="s">
        <v>79</v>
      </c>
      <c r="I30" s="1374" t="s">
        <v>393</v>
      </c>
      <c r="J30" s="1374"/>
      <c r="K30" s="1058">
        <v>3</v>
      </c>
      <c r="L30" s="1059">
        <f>'Community &amp; Management'!H9</f>
        <v>0</v>
      </c>
      <c r="M30" s="41"/>
      <c r="N30" s="1378"/>
      <c r="O30" s="1378"/>
      <c r="P30" s="1378"/>
      <c r="Q30" s="1378"/>
      <c r="R30" s="27"/>
      <c r="S30" s="1378"/>
      <c r="T30" s="1378"/>
      <c r="U30" s="1378"/>
      <c r="V30" s="1378"/>
      <c r="W30" s="41"/>
    </row>
    <row r="31" spans="1:23" ht="16.5" customHeight="1" x14ac:dyDescent="0.25">
      <c r="A31" s="24"/>
      <c r="B31" s="1068" t="s">
        <v>75</v>
      </c>
      <c r="C31" s="1371" t="s">
        <v>1935</v>
      </c>
      <c r="D31" s="1371"/>
      <c r="E31" s="1075">
        <v>2</v>
      </c>
      <c r="F31" s="1056">
        <f ca="1">Materials!H10</f>
        <v>0</v>
      </c>
      <c r="G31" s="27"/>
      <c r="H31" s="23"/>
      <c r="I31" s="23"/>
      <c r="J31" s="1060" t="s">
        <v>82</v>
      </c>
      <c r="K31" s="1061">
        <f>SUM(K26:K30)</f>
        <v>10</v>
      </c>
      <c r="L31" s="1062">
        <f>SUM(L27:L30)</f>
        <v>0</v>
      </c>
      <c r="M31" s="41"/>
      <c r="N31" s="1381" t="s">
        <v>156</v>
      </c>
      <c r="O31" s="1381"/>
      <c r="P31" s="1380">
        <f>E14+E22+E33+K24+K15+K31+E38</f>
        <v>100</v>
      </c>
      <c r="Q31" s="1380"/>
      <c r="R31" s="27"/>
      <c r="S31" s="1379" t="str">
        <f ca="1">IF(P32&gt;59, "Platinum",IF(P32&gt;51,"Gold",IF(P32&gt;43,"Silver",IF(P32&gt;31,"Certified","Uncertified"))))</f>
        <v>Uncertified</v>
      </c>
      <c r="T31" s="1379"/>
      <c r="U31" s="1379"/>
      <c r="V31" s="1379"/>
      <c r="W31" s="41"/>
    </row>
    <row r="32" spans="1:23" ht="16.5" customHeight="1" x14ac:dyDescent="0.25">
      <c r="A32" s="24"/>
      <c r="B32" s="1057" t="s">
        <v>641</v>
      </c>
      <c r="C32" s="1374" t="s">
        <v>857</v>
      </c>
      <c r="D32" s="1374"/>
      <c r="E32" s="1058">
        <v>2</v>
      </c>
      <c r="F32" s="1059">
        <f>Materials!H11</f>
        <v>0</v>
      </c>
      <c r="G32" s="27"/>
      <c r="H32" s="27"/>
      <c r="I32" s="23"/>
      <c r="J32" s="23"/>
      <c r="K32" s="23"/>
      <c r="L32" s="23"/>
      <c r="M32" s="23"/>
      <c r="N32" s="1381" t="s">
        <v>604</v>
      </c>
      <c r="O32" s="1381"/>
      <c r="P32" s="1380">
        <f ca="1">F14+F22+F33+L24+L15+L31+F38</f>
        <v>0</v>
      </c>
      <c r="Q32" s="1380"/>
      <c r="R32" s="23"/>
      <c r="S32" s="1379"/>
      <c r="T32" s="1379"/>
      <c r="U32" s="1379"/>
      <c r="V32" s="1379"/>
      <c r="W32" s="41"/>
    </row>
    <row r="33" spans="1:23" ht="16.5" customHeight="1" x14ac:dyDescent="0.25">
      <c r="A33" s="24"/>
      <c r="B33" s="24"/>
      <c r="C33" s="24"/>
      <c r="D33" s="1060" t="s">
        <v>82</v>
      </c>
      <c r="E33" s="1061">
        <f>SUM(E27:E32)</f>
        <v>14</v>
      </c>
      <c r="F33" s="1062">
        <f ca="1">SUM(F27:F32)</f>
        <v>0</v>
      </c>
      <c r="G33" s="27"/>
      <c r="H33" s="27"/>
      <c r="I33" s="27"/>
      <c r="J33" s="27"/>
      <c r="K33" s="27"/>
      <c r="L33" s="27"/>
      <c r="M33" s="27"/>
      <c r="N33" s="27"/>
      <c r="O33" s="27"/>
      <c r="P33" s="27"/>
      <c r="Q33" s="27"/>
      <c r="R33" s="27"/>
      <c r="S33" s="27"/>
      <c r="T33" s="27"/>
      <c r="U33" s="27"/>
      <c r="V33" s="27"/>
      <c r="W33" s="41"/>
    </row>
    <row r="34" spans="1:23" ht="16.5" customHeight="1" x14ac:dyDescent="0.25">
      <c r="A34" s="24"/>
      <c r="B34" s="24"/>
      <c r="C34" s="24"/>
      <c r="D34" s="24"/>
      <c r="E34" s="24"/>
      <c r="F34" s="24"/>
      <c r="G34" s="24"/>
      <c r="H34" s="24"/>
      <c r="I34" s="27"/>
      <c r="J34" s="27"/>
      <c r="K34" s="27"/>
      <c r="L34" s="27"/>
      <c r="M34" s="27"/>
      <c r="N34" s="23"/>
      <c r="O34" s="23"/>
      <c r="P34" s="23"/>
      <c r="Q34" s="23"/>
      <c r="R34" s="23"/>
      <c r="S34" s="23"/>
      <c r="T34" s="23"/>
      <c r="U34" s="23"/>
      <c r="V34" s="23"/>
      <c r="W34" s="41"/>
    </row>
    <row r="35" spans="1:23" ht="24.75" customHeight="1" x14ac:dyDescent="0.25">
      <c r="A35" s="24"/>
      <c r="B35" s="1376" t="s">
        <v>155</v>
      </c>
      <c r="C35" s="1377"/>
      <c r="D35" s="1377"/>
      <c r="E35" s="1083" t="s">
        <v>223</v>
      </c>
      <c r="F35" s="1084" t="s">
        <v>522</v>
      </c>
      <c r="G35" s="27"/>
      <c r="H35" s="27"/>
      <c r="I35" s="27"/>
      <c r="J35" s="27"/>
      <c r="K35" s="27"/>
      <c r="L35" s="27"/>
      <c r="M35" s="27"/>
      <c r="N35" s="23"/>
      <c r="O35" s="23"/>
      <c r="P35" s="23"/>
      <c r="Q35" s="23"/>
      <c r="R35" s="23"/>
      <c r="S35" s="23"/>
      <c r="T35" s="23"/>
      <c r="U35" s="23"/>
      <c r="V35" s="23"/>
      <c r="W35" s="41"/>
    </row>
    <row r="36" spans="1:23" ht="21.75" customHeight="1" x14ac:dyDescent="0.25">
      <c r="A36" s="23"/>
      <c r="B36" s="1067" t="s">
        <v>106</v>
      </c>
      <c r="C36" s="1375" t="s">
        <v>757</v>
      </c>
      <c r="D36" s="1375"/>
      <c r="E36" s="1372">
        <v>4</v>
      </c>
      <c r="F36" s="1054">
        <f>Innovation!H6</f>
        <v>0</v>
      </c>
      <c r="G36" s="26"/>
      <c r="H36" s="27"/>
      <c r="I36" s="27"/>
      <c r="J36" s="27"/>
      <c r="K36" s="27"/>
      <c r="L36" s="27"/>
      <c r="M36" s="27"/>
      <c r="N36" s="23"/>
      <c r="O36" s="23"/>
      <c r="P36" s="23"/>
      <c r="Q36" s="23"/>
      <c r="R36" s="23"/>
      <c r="S36" s="23"/>
      <c r="T36" s="23"/>
      <c r="U36" s="23"/>
      <c r="V36" s="23"/>
      <c r="W36" s="23"/>
    </row>
    <row r="37" spans="1:23" ht="16.5" customHeight="1" x14ac:dyDescent="0.25">
      <c r="A37" s="23"/>
      <c r="B37" s="1057" t="s">
        <v>108</v>
      </c>
      <c r="C37" s="1374" t="s">
        <v>109</v>
      </c>
      <c r="D37" s="1374"/>
      <c r="E37" s="1373"/>
      <c r="F37" s="1059">
        <f>Innovation!H7</f>
        <v>0</v>
      </c>
      <c r="G37" s="26"/>
      <c r="H37" s="27"/>
      <c r="I37" s="27"/>
      <c r="J37" s="27"/>
      <c r="K37" s="27"/>
      <c r="L37" s="27"/>
      <c r="M37" s="27"/>
      <c r="N37" s="23"/>
      <c r="O37" s="23"/>
      <c r="P37" s="23"/>
      <c r="Q37" s="23"/>
      <c r="R37" s="23"/>
      <c r="S37" s="23"/>
      <c r="T37" s="23"/>
      <c r="U37" s="23"/>
      <c r="V37" s="23"/>
      <c r="W37" s="23"/>
    </row>
    <row r="38" spans="1:23" ht="16.5" customHeight="1" x14ac:dyDescent="0.25">
      <c r="A38" s="23"/>
      <c r="B38" s="27"/>
      <c r="C38" s="27"/>
      <c r="D38" s="1060" t="s">
        <v>82</v>
      </c>
      <c r="E38" s="1061">
        <f>SUM(E36)</f>
        <v>4</v>
      </c>
      <c r="F38" s="1062">
        <f>MIN(4,SUM(F36:F37))</f>
        <v>0</v>
      </c>
      <c r="G38" s="26"/>
      <c r="H38" s="27"/>
      <c r="I38" s="27"/>
      <c r="J38" s="27"/>
      <c r="K38" s="27"/>
      <c r="L38" s="27"/>
      <c r="M38" s="27"/>
      <c r="N38" s="23"/>
      <c r="O38" s="23"/>
      <c r="P38" s="23"/>
      <c r="Q38" s="23"/>
      <c r="R38" s="23"/>
      <c r="S38" s="23"/>
      <c r="T38" s="23"/>
      <c r="U38" s="23"/>
      <c r="V38" s="23"/>
      <c r="W38" s="23"/>
    </row>
    <row r="39" spans="1:23" ht="16.5" customHeight="1" x14ac:dyDescent="0.25">
      <c r="A39" s="23"/>
      <c r="B39" s="25"/>
      <c r="C39" s="26"/>
      <c r="D39" s="26"/>
      <c r="E39" s="26"/>
      <c r="F39" s="26"/>
      <c r="G39" s="26"/>
      <c r="H39" s="28"/>
      <c r="I39" s="41"/>
      <c r="J39" s="28"/>
      <c r="K39" s="41"/>
      <c r="L39" s="41"/>
      <c r="M39" s="41"/>
      <c r="N39" s="23"/>
      <c r="O39" s="23"/>
      <c r="P39" s="23"/>
      <c r="Q39" s="23"/>
      <c r="R39" s="23"/>
      <c r="S39" s="23"/>
      <c r="T39" s="23"/>
      <c r="U39" s="23"/>
      <c r="V39" s="23"/>
      <c r="W39" s="23"/>
    </row>
    <row r="40" spans="1:23" ht="16.5" hidden="1" customHeight="1" x14ac:dyDescent="0.25">
      <c r="A40" s="23"/>
      <c r="B40" s="25"/>
      <c r="C40" s="26"/>
      <c r="D40" s="26"/>
      <c r="E40" s="26"/>
      <c r="F40" s="26"/>
      <c r="G40" s="26"/>
      <c r="H40" s="28"/>
      <c r="I40" s="41"/>
      <c r="J40" s="28"/>
      <c r="K40" s="41"/>
      <c r="L40" s="41"/>
      <c r="M40" s="41"/>
      <c r="N40" s="23"/>
      <c r="O40" s="23"/>
      <c r="P40" s="23"/>
      <c r="Q40" s="23"/>
      <c r="R40" s="23"/>
      <c r="S40" s="23"/>
      <c r="T40" s="23"/>
      <c r="U40" s="23"/>
      <c r="V40" s="23"/>
      <c r="W40" s="23"/>
    </row>
    <row r="41" spans="1:23" ht="16.5" hidden="1" customHeight="1" x14ac:dyDescent="0.25">
      <c r="A41" s="23"/>
      <c r="B41" s="25"/>
      <c r="C41" s="26"/>
      <c r="D41" s="26"/>
      <c r="E41" s="26"/>
      <c r="F41" s="26"/>
      <c r="G41" s="26"/>
      <c r="H41" s="28"/>
      <c r="I41" s="41"/>
      <c r="J41" s="28"/>
      <c r="K41" s="41"/>
      <c r="L41" s="41"/>
      <c r="M41" s="41"/>
      <c r="N41" s="23"/>
      <c r="O41" s="23"/>
      <c r="P41" s="23"/>
      <c r="Q41" s="23"/>
      <c r="R41" s="23"/>
      <c r="S41" s="23"/>
      <c r="T41" s="23"/>
      <c r="U41" s="23"/>
      <c r="V41" s="23"/>
      <c r="W41" s="23"/>
    </row>
    <row r="42" spans="1:23" ht="16.5" hidden="1" customHeight="1" x14ac:dyDescent="0.25">
      <c r="A42" s="23"/>
      <c r="B42" s="25"/>
      <c r="C42" s="26"/>
      <c r="D42" s="26"/>
      <c r="E42" s="26"/>
      <c r="F42" s="26"/>
      <c r="G42" s="26"/>
      <c r="H42" s="28"/>
      <c r="I42" s="41"/>
      <c r="J42" s="28"/>
      <c r="K42" s="41"/>
      <c r="L42" s="41"/>
      <c r="M42" s="41"/>
      <c r="N42" s="23"/>
      <c r="O42" s="23"/>
      <c r="P42" s="23"/>
      <c r="Q42" s="23"/>
      <c r="R42" s="23"/>
      <c r="S42" s="23"/>
      <c r="T42" s="23"/>
      <c r="U42" s="23"/>
      <c r="V42" s="23"/>
      <c r="W42" s="23"/>
    </row>
    <row r="43" spans="1:23" ht="16.5" hidden="1" customHeight="1" x14ac:dyDescent="0.25">
      <c r="A43" s="23"/>
      <c r="B43" s="25"/>
      <c r="C43" s="26"/>
      <c r="D43" s="26"/>
      <c r="E43" s="26"/>
      <c r="F43" s="26"/>
      <c r="G43" s="26"/>
      <c r="H43" s="28"/>
      <c r="I43" s="41"/>
      <c r="J43" s="28"/>
      <c r="K43" s="41"/>
      <c r="L43" s="41"/>
      <c r="M43" s="41"/>
      <c r="W43" s="23"/>
    </row>
    <row r="44" spans="1:23" ht="16.5" hidden="1" customHeight="1" x14ac:dyDescent="0.25">
      <c r="A44" s="23"/>
      <c r="B44" s="25"/>
      <c r="C44" s="26"/>
      <c r="D44" s="26"/>
      <c r="E44" s="26"/>
      <c r="F44" s="26"/>
      <c r="G44" s="26"/>
      <c r="H44" s="28"/>
      <c r="I44" s="41"/>
      <c r="J44" s="28"/>
      <c r="K44" s="41"/>
      <c r="L44" s="41"/>
      <c r="M44" s="41"/>
      <c r="W44" s="23"/>
    </row>
    <row r="45" spans="1:23" hidden="1" x14ac:dyDescent="0.25">
      <c r="A45" s="24"/>
      <c r="B45" s="23"/>
      <c r="C45" s="23"/>
      <c r="H45" s="28"/>
      <c r="I45" s="41"/>
      <c r="J45" s="28"/>
      <c r="K45" s="41"/>
      <c r="L45" s="41"/>
      <c r="M45" s="41"/>
    </row>
    <row r="46" spans="1:23" hidden="1" x14ac:dyDescent="0.25"/>
    <row r="47" spans="1:23" hidden="1" x14ac:dyDescent="0.25"/>
    <row r="48" spans="1:23" hidden="1" x14ac:dyDescent="0.25"/>
    <row r="49" hidden="1" x14ac:dyDescent="0.25"/>
    <row r="50" hidden="1" x14ac:dyDescent="0.25"/>
    <row r="51" hidden="1" x14ac:dyDescent="0.25"/>
    <row r="52" hidden="1" x14ac:dyDescent="0.25"/>
  </sheetData>
  <sheetProtection password="DAFC" sheet="1" objects="1" scenarios="1"/>
  <mergeCells count="55">
    <mergeCell ref="A1:H3"/>
    <mergeCell ref="S29:V30"/>
    <mergeCell ref="B5:D5"/>
    <mergeCell ref="I13:J13"/>
    <mergeCell ref="I14:J14"/>
    <mergeCell ref="H5:J5"/>
    <mergeCell ref="I11:J11"/>
    <mergeCell ref="C6:D6"/>
    <mergeCell ref="C7:D7"/>
    <mergeCell ref="H17:J17"/>
    <mergeCell ref="I6:J6"/>
    <mergeCell ref="C8:D8"/>
    <mergeCell ref="C12:D12"/>
    <mergeCell ref="I12:J12"/>
    <mergeCell ref="I8:J8"/>
    <mergeCell ref="C9:D9"/>
    <mergeCell ref="I9:J9"/>
    <mergeCell ref="N32:O32"/>
    <mergeCell ref="B17:D17"/>
    <mergeCell ref="C27:D27"/>
    <mergeCell ref="C10:D10"/>
    <mergeCell ref="I10:J10"/>
    <mergeCell ref="C11:D11"/>
    <mergeCell ref="C13:D13"/>
    <mergeCell ref="C31:D31"/>
    <mergeCell ref="P31:Q31"/>
    <mergeCell ref="N31:O31"/>
    <mergeCell ref="C18:D18"/>
    <mergeCell ref="I18:J18"/>
    <mergeCell ref="C21:D21"/>
    <mergeCell ref="I23:J23"/>
    <mergeCell ref="I22:J22"/>
    <mergeCell ref="I20:J20"/>
    <mergeCell ref="I28:J28"/>
    <mergeCell ref="C20:D20"/>
    <mergeCell ref="I21:J21"/>
    <mergeCell ref="C19:D19"/>
    <mergeCell ref="I19:J19"/>
    <mergeCell ref="H26:J26"/>
    <mergeCell ref="N1:V3"/>
    <mergeCell ref="B26:D26"/>
    <mergeCell ref="C29:D29"/>
    <mergeCell ref="E36:E37"/>
    <mergeCell ref="C37:D37"/>
    <mergeCell ref="I30:J30"/>
    <mergeCell ref="C36:D36"/>
    <mergeCell ref="C32:D32"/>
    <mergeCell ref="B35:D35"/>
    <mergeCell ref="C30:D30"/>
    <mergeCell ref="I27:J27"/>
    <mergeCell ref="N29:Q30"/>
    <mergeCell ref="S31:V32"/>
    <mergeCell ref="I29:J29"/>
    <mergeCell ref="C28:D28"/>
    <mergeCell ref="P32:Q32"/>
  </mergeCells>
  <conditionalFormatting sqref="P32">
    <cfRule type="expression" dxfId="350" priority="417">
      <formula>$P32&gt;60</formula>
    </cfRule>
    <cfRule type="expression" dxfId="349" priority="418">
      <formula>AND($P32&lt;60,$P32&gt;51)</formula>
    </cfRule>
    <cfRule type="expression" dxfId="348" priority="419">
      <formula>AND($P32&lt;52,$P32&gt;43)</formula>
    </cfRule>
    <cfRule type="expression" dxfId="347" priority="420">
      <formula>$P32&lt;32</formula>
    </cfRule>
    <cfRule type="expression" dxfId="346" priority="421">
      <formula>AND($P32&lt;44,$P32&gt;31)</formula>
    </cfRule>
  </conditionalFormatting>
  <conditionalFormatting sqref="S31">
    <cfRule type="expression" dxfId="345" priority="432">
      <formula>$P32&gt;=60</formula>
    </cfRule>
    <cfRule type="expression" dxfId="344" priority="433">
      <formula>AND($P32&lt;60,$P32&gt;51)</formula>
    </cfRule>
    <cfRule type="expression" dxfId="343" priority="434">
      <formula>AND($P32&lt;52,$P32&gt;43)</formula>
    </cfRule>
    <cfRule type="expression" dxfId="342" priority="435">
      <formula>$P32&lt;32</formula>
    </cfRule>
    <cfRule type="expression" dxfId="341" priority="436">
      <formula>AND($P32&lt;44,$P32&gt;31)</formula>
    </cfRule>
  </conditionalFormatting>
  <hyperlinks>
    <hyperlink ref="B17:D17" location="Water!K2" tooltip="Water" display="Water"/>
    <hyperlink ref="B26:D26" location="Materials!K2" tooltip="Materials" display="Materials"/>
    <hyperlink ref="H17:J17" location="'Health &amp; Comfort'!K2" tooltip="Health &amp; Comfort" display="Health &amp; Comfort"/>
    <hyperlink ref="H26:J26" location="'Community &amp; Management'!K2" tooltip="Community &amp; Management" display="Community &amp; Management"/>
    <hyperlink ref="B5:C5" location="Energy!A1" display="Energy"/>
    <hyperlink ref="H5:J5" location="'Local Environment'!K2" tooltip="Local Environment" display="Local Environment"/>
    <hyperlink ref="B35:D35" location="Innovation!K2" tooltip="Innovation" display="Innovation"/>
    <hyperlink ref="B5:D5" location="Energy!K2" tooltip="Energy" display="Energy"/>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V73"/>
  <sheetViews>
    <sheetView showRowColHeaders="0" zoomScale="97" zoomScaleNormal="97" workbookViewId="0">
      <selection activeCell="M1" sqref="M1:XFD1048576"/>
    </sheetView>
  </sheetViews>
  <sheetFormatPr defaultColWidth="0" defaultRowHeight="15" zeroHeight="1" x14ac:dyDescent="0.25"/>
  <cols>
    <col min="1" max="12" width="11.42578125" customWidth="1"/>
    <col min="13" max="16384" width="11.42578125" hidden="1"/>
  </cols>
  <sheetData>
    <row r="1" spans="1:22" ht="33" customHeight="1" x14ac:dyDescent="0.25">
      <c r="A1" s="1398" t="s">
        <v>780</v>
      </c>
      <c r="B1" s="1398"/>
      <c r="C1" s="1398"/>
      <c r="D1" s="1398"/>
      <c r="E1" s="1398"/>
      <c r="F1" s="1398"/>
      <c r="G1" s="1398"/>
      <c r="H1" s="1398"/>
      <c r="I1" s="1398"/>
      <c r="J1" s="1398"/>
      <c r="K1" s="1398"/>
      <c r="L1" s="1398"/>
      <c r="M1" s="41"/>
      <c r="N1" s="41"/>
    </row>
    <row r="2" spans="1:22" ht="30" customHeight="1" x14ac:dyDescent="0.25">
      <c r="A2" s="1399" t="s">
        <v>2410</v>
      </c>
      <c r="B2" s="1399"/>
      <c r="C2" s="1399"/>
      <c r="D2" s="1399"/>
      <c r="E2" s="1399"/>
      <c r="F2" s="1399"/>
      <c r="G2" s="1399"/>
      <c r="H2" s="1399"/>
      <c r="I2" s="1399"/>
      <c r="J2" s="1399"/>
      <c r="K2" s="1399"/>
      <c r="L2" s="1399"/>
    </row>
    <row r="3" spans="1:22" hidden="1" x14ac:dyDescent="0.25">
      <c r="A3" s="13"/>
      <c r="B3" s="13"/>
      <c r="C3" s="13"/>
      <c r="D3" s="13"/>
      <c r="E3" s="13"/>
      <c r="F3" s="13"/>
      <c r="G3" s="13"/>
      <c r="H3" s="13"/>
      <c r="I3" s="13"/>
      <c r="J3" s="13"/>
      <c r="K3" s="13"/>
      <c r="L3" s="13"/>
    </row>
    <row r="4" spans="1:22" ht="12.75" hidden="1" customHeight="1" x14ac:dyDescent="0.25">
      <c r="A4" s="13"/>
      <c r="B4" s="13"/>
      <c r="C4" s="1393" t="s">
        <v>605</v>
      </c>
      <c r="D4" s="1394"/>
      <c r="E4" s="1394"/>
      <c r="F4" s="1394"/>
      <c r="G4" s="1397" t="str">
        <f ca="1">IF(N6&gt;59, "Platinum",IF(N6&gt;51,"Gold",IF(N6&gt;43,"Silver",IF(N6&gt;31,"Certified","Uncertified"))))</f>
        <v>Uncertified</v>
      </c>
      <c r="H4" s="1397"/>
      <c r="I4" s="1397"/>
      <c r="J4" s="13"/>
      <c r="K4" s="13"/>
      <c r="L4" s="13"/>
      <c r="M4" s="13"/>
    </row>
    <row r="5" spans="1:22" ht="12.75" hidden="1" customHeight="1" x14ac:dyDescent="0.25">
      <c r="A5" s="13"/>
      <c r="B5" s="13"/>
      <c r="C5" s="1395"/>
      <c r="D5" s="1396"/>
      <c r="E5" s="1396"/>
      <c r="F5" s="1396"/>
      <c r="G5" s="1397"/>
      <c r="H5" s="1397"/>
      <c r="I5" s="1397"/>
      <c r="J5" s="13"/>
      <c r="K5" s="13"/>
      <c r="L5" s="13"/>
      <c r="M5" s="13"/>
    </row>
    <row r="6" spans="1:22" x14ac:dyDescent="0.25">
      <c r="A6" s="13"/>
      <c r="B6" s="13"/>
      <c r="C6" s="13"/>
      <c r="D6" s="13"/>
      <c r="E6" s="13"/>
      <c r="F6" s="13"/>
      <c r="G6" s="13"/>
      <c r="H6" s="13"/>
      <c r="I6" s="13"/>
      <c r="J6" s="13"/>
      <c r="K6" s="13"/>
      <c r="L6" s="13"/>
      <c r="N6">
        <f ca="1">'LOTUS Homes Scorecard'!P32</f>
        <v>0</v>
      </c>
      <c r="O6">
        <v>31</v>
      </c>
      <c r="P6" t="s">
        <v>512</v>
      </c>
      <c r="R6" t="s">
        <v>57</v>
      </c>
      <c r="S6">
        <f>V6-T6</f>
        <v>29</v>
      </c>
      <c r="T6">
        <f>'LOTUS Homes Scorecard'!F14</f>
        <v>0</v>
      </c>
      <c r="U6">
        <f>S6</f>
        <v>29</v>
      </c>
      <c r="V6">
        <f>'LOTUS Homes Scorecard'!E14</f>
        <v>29</v>
      </c>
    </row>
    <row r="7" spans="1:22" x14ac:dyDescent="0.25">
      <c r="A7" s="13"/>
      <c r="B7" s="13"/>
      <c r="C7" s="13"/>
      <c r="D7" s="13"/>
      <c r="E7" s="13"/>
      <c r="F7" s="13"/>
      <c r="G7" s="13"/>
      <c r="H7" s="13"/>
      <c r="I7" s="13"/>
      <c r="J7" s="13"/>
      <c r="K7" s="13"/>
      <c r="L7" s="13"/>
      <c r="N7">
        <f ca="1">'LOTUS Homes Scorecard'!P31-N6</f>
        <v>100</v>
      </c>
      <c r="O7">
        <f>43-O6</f>
        <v>12</v>
      </c>
      <c r="P7" t="s">
        <v>513</v>
      </c>
      <c r="R7" t="s">
        <v>34</v>
      </c>
      <c r="S7">
        <f t="shared" ref="S7:S12" si="0">V7-T7</f>
        <v>12</v>
      </c>
      <c r="T7">
        <f>'LOTUS Homes Scorecard'!F22</f>
        <v>0</v>
      </c>
      <c r="U7">
        <f t="shared" ref="U7:U12" si="1">S7</f>
        <v>12</v>
      </c>
      <c r="V7">
        <f>'LOTUS Homes Scorecard'!E22</f>
        <v>12</v>
      </c>
    </row>
    <row r="8" spans="1:22" x14ac:dyDescent="0.25">
      <c r="A8" s="13"/>
      <c r="B8" s="13"/>
      <c r="C8" s="13"/>
      <c r="D8" s="13"/>
      <c r="E8" s="13"/>
      <c r="F8" s="13"/>
      <c r="G8" s="13"/>
      <c r="H8" s="13"/>
      <c r="I8" s="13"/>
      <c r="J8" s="13"/>
      <c r="K8" s="13"/>
      <c r="L8" s="13"/>
      <c r="N8">
        <f>'LOTUS Homes Scorecard'!P31</f>
        <v>100</v>
      </c>
      <c r="O8">
        <f>51-43</f>
        <v>8</v>
      </c>
      <c r="P8" t="s">
        <v>514</v>
      </c>
      <c r="R8" t="s">
        <v>210</v>
      </c>
      <c r="S8">
        <f t="shared" ca="1" si="0"/>
        <v>14</v>
      </c>
      <c r="T8">
        <f ca="1">'LOTUS Homes Scorecard'!F33</f>
        <v>0</v>
      </c>
      <c r="U8">
        <f t="shared" ca="1" si="1"/>
        <v>14</v>
      </c>
      <c r="V8">
        <f>'LOTUS Homes Scorecard'!E33</f>
        <v>14</v>
      </c>
    </row>
    <row r="9" spans="1:22" x14ac:dyDescent="0.25">
      <c r="A9" s="13"/>
      <c r="B9" s="13"/>
      <c r="C9" s="13"/>
      <c r="D9" s="13"/>
      <c r="E9" s="13"/>
      <c r="F9" s="13"/>
      <c r="G9" s="13"/>
      <c r="H9" s="13"/>
      <c r="I9" s="13"/>
      <c r="J9" s="13"/>
      <c r="K9" s="13"/>
      <c r="L9" s="13"/>
      <c r="O9">
        <f>59-51</f>
        <v>8</v>
      </c>
      <c r="P9" t="s">
        <v>515</v>
      </c>
      <c r="R9" t="s">
        <v>518</v>
      </c>
      <c r="S9">
        <f t="shared" si="0"/>
        <v>14</v>
      </c>
      <c r="T9">
        <f>'LOTUS Homes Scorecard'!L24</f>
        <v>0</v>
      </c>
      <c r="U9">
        <f t="shared" si="1"/>
        <v>14</v>
      </c>
      <c r="V9">
        <f>'LOTUS Homes Scorecard'!K24</f>
        <v>14</v>
      </c>
    </row>
    <row r="10" spans="1:22" x14ac:dyDescent="0.25">
      <c r="A10" s="13"/>
      <c r="B10" s="13"/>
      <c r="C10" s="13"/>
      <c r="D10" s="13"/>
      <c r="E10" s="13"/>
      <c r="F10" s="13"/>
      <c r="G10" s="13"/>
      <c r="H10" s="13"/>
      <c r="I10" s="13"/>
      <c r="J10" s="13"/>
      <c r="K10" s="13"/>
      <c r="L10" s="13"/>
      <c r="O10">
        <v>40</v>
      </c>
      <c r="P10" t="s">
        <v>516</v>
      </c>
      <c r="R10" t="s">
        <v>519</v>
      </c>
      <c r="S10">
        <f t="shared" si="0"/>
        <v>17</v>
      </c>
      <c r="T10">
        <f>'LOTUS Homes Scorecard'!L15</f>
        <v>0</v>
      </c>
      <c r="U10">
        <f t="shared" si="1"/>
        <v>17</v>
      </c>
      <c r="V10">
        <f>'LOTUS Homes Scorecard'!K15</f>
        <v>17</v>
      </c>
    </row>
    <row r="11" spans="1:22" x14ac:dyDescent="0.25">
      <c r="A11" s="13"/>
      <c r="B11" s="13"/>
      <c r="C11" s="13"/>
      <c r="D11" s="13"/>
      <c r="E11" s="13"/>
      <c r="F11" s="13"/>
      <c r="G11" s="13"/>
      <c r="H11" s="13"/>
      <c r="I11" s="13"/>
      <c r="J11" s="13"/>
      <c r="K11" s="13"/>
      <c r="L11" s="13"/>
      <c r="R11" t="s">
        <v>520</v>
      </c>
      <c r="S11">
        <f t="shared" si="0"/>
        <v>10</v>
      </c>
      <c r="T11">
        <f>'LOTUS Homes Scorecard'!L31</f>
        <v>0</v>
      </c>
      <c r="U11">
        <f t="shared" si="1"/>
        <v>10</v>
      </c>
      <c r="V11">
        <f>'LOTUS Homes Scorecard'!K31</f>
        <v>10</v>
      </c>
    </row>
    <row r="12" spans="1:22" x14ac:dyDescent="0.25">
      <c r="A12" s="13"/>
      <c r="B12" s="13"/>
      <c r="C12" s="13"/>
      <c r="D12" s="13"/>
      <c r="E12" s="13"/>
      <c r="F12" s="13"/>
      <c r="G12" s="13"/>
      <c r="H12" s="13"/>
      <c r="I12" s="13"/>
      <c r="J12" s="13"/>
      <c r="K12" s="13"/>
      <c r="L12" s="13"/>
      <c r="R12" t="s">
        <v>155</v>
      </c>
      <c r="S12">
        <f t="shared" si="0"/>
        <v>4</v>
      </c>
      <c r="T12">
        <f>'LOTUS Homes Scorecard'!F38</f>
        <v>0</v>
      </c>
      <c r="U12">
        <f t="shared" si="1"/>
        <v>4</v>
      </c>
      <c r="V12">
        <f>'LOTUS Homes Scorecard'!E38</f>
        <v>4</v>
      </c>
    </row>
    <row r="13" spans="1:22" x14ac:dyDescent="0.25">
      <c r="A13" s="13"/>
      <c r="B13" s="13"/>
      <c r="C13" s="13"/>
      <c r="D13" s="13"/>
      <c r="E13" s="13"/>
      <c r="F13" s="13"/>
      <c r="G13" s="13"/>
      <c r="H13" s="13"/>
      <c r="I13" s="13"/>
      <c r="J13" s="13"/>
      <c r="K13" s="13"/>
      <c r="L13" s="13"/>
      <c r="O13">
        <f ca="1">MAX(0,N6-0.25)</f>
        <v>0</v>
      </c>
    </row>
    <row r="14" spans="1:22" x14ac:dyDescent="0.25">
      <c r="A14" s="13"/>
      <c r="B14" s="13"/>
      <c r="C14" s="13"/>
      <c r="D14" s="13"/>
      <c r="E14" s="13"/>
      <c r="F14" s="13"/>
      <c r="G14" s="13"/>
      <c r="H14" s="13"/>
      <c r="I14" s="13"/>
      <c r="J14" s="13"/>
      <c r="K14" s="13"/>
      <c r="L14" s="13"/>
      <c r="O14">
        <v>0.5</v>
      </c>
      <c r="R14" t="s">
        <v>57</v>
      </c>
      <c r="S14" s="205">
        <f>T6/V6</f>
        <v>0</v>
      </c>
    </row>
    <row r="15" spans="1:22" x14ac:dyDescent="0.25">
      <c r="A15" s="13"/>
      <c r="B15" s="13"/>
      <c r="C15" s="13"/>
      <c r="D15" s="13"/>
      <c r="E15" s="13"/>
      <c r="F15" s="13"/>
      <c r="G15" s="13"/>
      <c r="H15" s="13"/>
      <c r="I15" s="13"/>
      <c r="J15" s="13"/>
      <c r="K15" s="13"/>
      <c r="L15" s="13"/>
      <c r="O15">
        <f ca="1">N8-(O13+O14)</f>
        <v>99.5</v>
      </c>
      <c r="R15" t="s">
        <v>34</v>
      </c>
      <c r="S15" s="205">
        <f t="shared" ref="S15:S19" si="2">T7/V7</f>
        <v>0</v>
      </c>
    </row>
    <row r="16" spans="1:22" x14ac:dyDescent="0.25">
      <c r="A16" s="13"/>
      <c r="B16" s="13"/>
      <c r="C16" s="13"/>
      <c r="D16" s="13"/>
      <c r="E16" s="13"/>
      <c r="F16" s="13"/>
      <c r="G16" s="13"/>
      <c r="H16" s="13"/>
      <c r="I16" s="13"/>
      <c r="J16" s="13"/>
      <c r="K16" s="13"/>
      <c r="L16" s="13"/>
      <c r="R16" t="s">
        <v>210</v>
      </c>
      <c r="S16" s="205">
        <f t="shared" ca="1" si="2"/>
        <v>0</v>
      </c>
    </row>
    <row r="17" spans="1:19" x14ac:dyDescent="0.25">
      <c r="A17" s="13"/>
      <c r="B17" s="13"/>
      <c r="C17" s="13"/>
      <c r="D17" s="13"/>
      <c r="E17" s="13"/>
      <c r="F17" s="13"/>
      <c r="G17" s="13"/>
      <c r="H17" s="13"/>
      <c r="I17" s="13"/>
      <c r="J17" s="13"/>
      <c r="K17" s="13"/>
      <c r="L17" s="13"/>
      <c r="R17" t="s">
        <v>518</v>
      </c>
      <c r="S17" s="205">
        <f t="shared" si="2"/>
        <v>0</v>
      </c>
    </row>
    <row r="18" spans="1:19" x14ac:dyDescent="0.25">
      <c r="A18" s="13"/>
      <c r="B18" s="13"/>
      <c r="C18" s="13"/>
      <c r="D18" s="13"/>
      <c r="E18" s="13"/>
      <c r="F18" s="13"/>
      <c r="G18" s="13"/>
      <c r="H18" s="13"/>
      <c r="I18" s="13"/>
      <c r="J18" s="13"/>
      <c r="K18" s="13"/>
      <c r="L18" s="13"/>
      <c r="R18" t="s">
        <v>519</v>
      </c>
      <c r="S18" s="205">
        <f t="shared" si="2"/>
        <v>0</v>
      </c>
    </row>
    <row r="19" spans="1:19" x14ac:dyDescent="0.25">
      <c r="A19" s="13"/>
      <c r="B19" s="13"/>
      <c r="C19" s="13"/>
      <c r="D19" s="13"/>
      <c r="E19" s="13"/>
      <c r="F19" s="13"/>
      <c r="G19" s="13"/>
      <c r="H19" s="13"/>
      <c r="I19" s="13"/>
      <c r="J19" s="13"/>
      <c r="K19" s="13"/>
      <c r="L19" s="13"/>
      <c r="R19" t="s">
        <v>520</v>
      </c>
      <c r="S19" s="205">
        <f t="shared" si="2"/>
        <v>0</v>
      </c>
    </row>
    <row r="20" spans="1:19" x14ac:dyDescent="0.25">
      <c r="A20" s="13"/>
      <c r="B20" s="13"/>
      <c r="C20" s="13"/>
      <c r="D20" s="13"/>
      <c r="E20" s="13"/>
      <c r="F20" s="13"/>
      <c r="G20" s="13"/>
      <c r="H20" s="13"/>
      <c r="I20" s="13"/>
      <c r="J20" s="13"/>
      <c r="K20" s="13"/>
      <c r="L20" s="13"/>
      <c r="R20" t="s">
        <v>155</v>
      </c>
      <c r="S20">
        <f t="shared" ref="S20" si="3">T12/S12</f>
        <v>0</v>
      </c>
    </row>
    <row r="21" spans="1:19" x14ac:dyDescent="0.25">
      <c r="A21" s="13"/>
      <c r="B21" s="13"/>
      <c r="C21" s="13"/>
      <c r="D21" s="13"/>
      <c r="E21" s="13"/>
      <c r="F21" s="13"/>
      <c r="G21" s="13"/>
      <c r="H21" s="13"/>
      <c r="I21" s="13"/>
      <c r="J21" s="13"/>
      <c r="K21" s="13"/>
      <c r="L21" s="13"/>
    </row>
    <row r="22" spans="1:19" x14ac:dyDescent="0.25">
      <c r="A22" s="13"/>
      <c r="B22" s="13"/>
      <c r="C22" s="13"/>
      <c r="D22" s="13"/>
      <c r="E22" s="13"/>
      <c r="F22" s="13"/>
      <c r="G22" s="13"/>
      <c r="H22" s="13"/>
      <c r="I22" s="13"/>
      <c r="J22" s="13"/>
      <c r="K22" s="13"/>
      <c r="L22" s="13"/>
    </row>
    <row r="23" spans="1:19" x14ac:dyDescent="0.25">
      <c r="A23" s="13"/>
      <c r="B23" s="13"/>
      <c r="C23" s="13"/>
      <c r="D23" s="13"/>
      <c r="E23" s="13"/>
      <c r="F23" s="13"/>
      <c r="G23" s="13"/>
      <c r="H23" s="13"/>
      <c r="I23" s="13"/>
      <c r="J23" s="13"/>
      <c r="K23" s="13"/>
      <c r="L23" s="13"/>
    </row>
    <row r="24" spans="1:19" x14ac:dyDescent="0.25">
      <c r="A24" s="13"/>
      <c r="B24" s="13"/>
      <c r="C24" s="13"/>
      <c r="D24" s="13"/>
      <c r="E24" s="13"/>
      <c r="F24" s="13"/>
      <c r="G24" s="13"/>
      <c r="H24" s="13"/>
      <c r="I24" s="13"/>
      <c r="J24" s="13"/>
      <c r="K24" s="13"/>
      <c r="L24" s="13"/>
    </row>
    <row r="25" spans="1:19" x14ac:dyDescent="0.25">
      <c r="A25" s="13"/>
      <c r="B25" s="13"/>
      <c r="C25" s="13"/>
      <c r="D25" s="13"/>
      <c r="E25" s="13"/>
      <c r="F25" s="13"/>
      <c r="G25" s="13"/>
      <c r="H25" s="13"/>
      <c r="I25" s="13"/>
      <c r="J25" s="13"/>
      <c r="K25" s="13"/>
      <c r="L25" s="13"/>
    </row>
    <row r="26" spans="1:19" x14ac:dyDescent="0.25">
      <c r="A26" s="13"/>
      <c r="B26" s="13"/>
      <c r="C26" s="13"/>
      <c r="D26" s="13"/>
      <c r="E26" s="13"/>
      <c r="F26" s="13"/>
      <c r="G26" s="13"/>
      <c r="H26" s="13"/>
      <c r="I26" s="13"/>
      <c r="J26" s="13"/>
      <c r="K26" s="13"/>
      <c r="L26" s="13"/>
    </row>
    <row r="27" spans="1:19" x14ac:dyDescent="0.25">
      <c r="A27" s="13"/>
      <c r="B27" s="13"/>
      <c r="C27" s="13"/>
      <c r="D27" s="13"/>
      <c r="E27" s="13"/>
      <c r="F27" s="13"/>
      <c r="G27" s="13"/>
      <c r="H27" s="13"/>
      <c r="I27" s="13"/>
      <c r="J27" s="13"/>
      <c r="K27" s="13"/>
      <c r="L27" s="13"/>
    </row>
    <row r="28" spans="1:19" x14ac:dyDescent="0.25">
      <c r="A28" s="13"/>
      <c r="B28" s="13"/>
      <c r="C28" s="13"/>
      <c r="D28" s="13"/>
      <c r="E28" s="13"/>
      <c r="F28" s="13"/>
      <c r="G28" s="13"/>
      <c r="H28" s="13"/>
      <c r="I28" s="13"/>
      <c r="J28" s="13"/>
      <c r="K28" s="13"/>
      <c r="L28" s="13"/>
    </row>
    <row r="29" spans="1:19" x14ac:dyDescent="0.25">
      <c r="A29" s="13"/>
      <c r="B29" s="13"/>
      <c r="C29" s="13"/>
      <c r="D29" s="13"/>
      <c r="E29" s="13"/>
      <c r="F29" s="13"/>
      <c r="G29" s="13"/>
      <c r="H29" s="13"/>
      <c r="I29" s="13"/>
      <c r="J29" s="13"/>
      <c r="K29" s="13"/>
      <c r="L29" s="13"/>
    </row>
    <row r="30" spans="1:19" x14ac:dyDescent="0.25">
      <c r="A30" s="13"/>
      <c r="B30" s="13"/>
      <c r="C30" s="13"/>
      <c r="D30" s="13"/>
      <c r="E30" s="13"/>
      <c r="F30" s="13"/>
      <c r="G30" s="13"/>
      <c r="H30" s="13"/>
      <c r="I30" s="13"/>
      <c r="J30" s="13"/>
      <c r="K30" s="13"/>
      <c r="L30" s="13"/>
    </row>
    <row r="31" spans="1:19" x14ac:dyDescent="0.25">
      <c r="A31" s="13"/>
      <c r="B31" s="13"/>
      <c r="C31" s="13"/>
      <c r="D31" s="13"/>
      <c r="E31" s="13"/>
      <c r="F31" s="13"/>
      <c r="G31" s="13"/>
      <c r="H31" s="13"/>
      <c r="I31" s="13"/>
      <c r="J31" s="13"/>
      <c r="K31" s="13"/>
      <c r="L31" s="13"/>
    </row>
    <row r="32" spans="1:19" x14ac:dyDescent="0.25">
      <c r="A32" s="13"/>
      <c r="B32" s="13"/>
      <c r="C32" s="13"/>
      <c r="D32" s="13"/>
      <c r="E32" s="13"/>
      <c r="F32" s="13"/>
      <c r="G32" s="13"/>
      <c r="H32" s="13"/>
      <c r="I32" s="13"/>
      <c r="J32" s="13"/>
      <c r="K32" s="13"/>
      <c r="L32" s="13"/>
    </row>
    <row r="33" spans="1:12" x14ac:dyDescent="0.25">
      <c r="A33" s="13"/>
      <c r="B33" s="13"/>
      <c r="C33" s="13"/>
      <c r="D33" s="13"/>
      <c r="E33" s="13"/>
      <c r="F33" s="13"/>
      <c r="G33" s="13"/>
      <c r="H33" s="13"/>
      <c r="I33" s="13"/>
      <c r="J33" s="13"/>
      <c r="K33" s="13"/>
      <c r="L33" s="13"/>
    </row>
    <row r="34" spans="1:12" x14ac:dyDescent="0.25">
      <c r="A34" s="13"/>
      <c r="B34" s="13"/>
      <c r="C34" s="13"/>
      <c r="D34" s="13"/>
      <c r="E34" s="13"/>
      <c r="F34" s="13"/>
      <c r="G34" s="13"/>
      <c r="H34" s="13"/>
      <c r="I34" s="13"/>
      <c r="J34" s="13"/>
      <c r="K34" s="13"/>
      <c r="L34" s="13"/>
    </row>
    <row r="35" spans="1:12" x14ac:dyDescent="0.25">
      <c r="A35" s="13"/>
      <c r="B35" s="13"/>
      <c r="C35" s="13"/>
      <c r="D35" s="13"/>
      <c r="E35" s="13"/>
      <c r="F35" s="13"/>
      <c r="G35" s="13"/>
      <c r="H35" s="13"/>
      <c r="I35" s="13"/>
      <c r="J35" s="13"/>
      <c r="K35" s="13"/>
      <c r="L35" s="13"/>
    </row>
    <row r="36" spans="1:12" x14ac:dyDescent="0.25">
      <c r="A36" s="13"/>
      <c r="B36" s="13"/>
      <c r="C36" s="13"/>
      <c r="D36" s="13"/>
      <c r="E36" s="13"/>
      <c r="F36" s="13"/>
      <c r="G36" s="13"/>
      <c r="H36" s="13"/>
      <c r="I36" s="13"/>
      <c r="J36" s="13"/>
      <c r="K36" s="13"/>
      <c r="L36" s="13"/>
    </row>
    <row r="37" spans="1:12" x14ac:dyDescent="0.25">
      <c r="A37" s="13"/>
      <c r="B37" s="13"/>
      <c r="C37" s="13"/>
      <c r="D37" s="13"/>
      <c r="E37" s="13"/>
      <c r="F37" s="13"/>
      <c r="G37" s="13"/>
      <c r="H37" s="13"/>
      <c r="I37" s="13"/>
      <c r="J37" s="13"/>
      <c r="K37" s="13"/>
      <c r="L37" s="13"/>
    </row>
    <row r="38" spans="1:12" x14ac:dyDescent="0.25">
      <c r="A38" s="13"/>
      <c r="B38" s="13"/>
      <c r="C38" s="13"/>
      <c r="D38" s="13"/>
      <c r="E38" s="13"/>
      <c r="F38" s="13"/>
      <c r="G38" s="13"/>
      <c r="H38" s="13"/>
      <c r="I38" s="13"/>
      <c r="J38" s="13"/>
      <c r="K38" s="13"/>
      <c r="L38" s="13"/>
    </row>
    <row r="39" spans="1:12" x14ac:dyDescent="0.25">
      <c r="A39" s="13"/>
      <c r="B39" s="13"/>
      <c r="C39" s="13"/>
      <c r="D39" s="13"/>
      <c r="E39" s="13"/>
      <c r="F39" s="13"/>
      <c r="G39" s="13"/>
      <c r="H39" s="13"/>
      <c r="I39" s="13"/>
      <c r="J39" s="13"/>
      <c r="K39" s="13"/>
      <c r="L39" s="13"/>
    </row>
    <row r="40" spans="1:12" x14ac:dyDescent="0.25">
      <c r="A40" s="13"/>
      <c r="B40" s="13"/>
      <c r="C40" s="13"/>
      <c r="D40" s="13"/>
      <c r="E40" s="13"/>
      <c r="F40" s="13"/>
      <c r="G40" s="13"/>
      <c r="H40" s="13"/>
      <c r="I40" s="13"/>
      <c r="J40" s="13"/>
      <c r="K40" s="13"/>
      <c r="L40" s="13"/>
    </row>
    <row r="41" spans="1:12" x14ac:dyDescent="0.25">
      <c r="A41" s="13"/>
      <c r="B41" s="13"/>
      <c r="C41" s="13"/>
      <c r="D41" s="13"/>
      <c r="E41" s="13"/>
      <c r="F41" s="13"/>
      <c r="G41" s="13"/>
      <c r="H41" s="13"/>
      <c r="I41" s="13"/>
      <c r="J41" s="13"/>
      <c r="K41" s="13"/>
      <c r="L41" s="13"/>
    </row>
    <row r="42" spans="1:12" hidden="1" x14ac:dyDescent="0.25">
      <c r="A42" s="13"/>
      <c r="B42" s="13"/>
      <c r="C42" s="13"/>
      <c r="D42" s="13"/>
      <c r="E42" s="13"/>
      <c r="F42" s="13"/>
      <c r="G42" s="13"/>
      <c r="H42" s="13"/>
      <c r="I42" s="13"/>
      <c r="J42" s="13"/>
      <c r="K42" s="13"/>
      <c r="L42" s="13"/>
    </row>
    <row r="43" spans="1:12" hidden="1" x14ac:dyDescent="0.25">
      <c r="A43" s="13"/>
      <c r="B43" s="13"/>
      <c r="C43" s="13"/>
      <c r="D43" s="13"/>
      <c r="E43" s="13"/>
      <c r="F43" s="13"/>
      <c r="G43" s="13"/>
      <c r="H43" s="13"/>
      <c r="I43" s="13"/>
      <c r="J43" s="13"/>
      <c r="K43" s="13"/>
      <c r="L43" s="13"/>
    </row>
    <row r="44" spans="1:12" hidden="1" x14ac:dyDescent="0.25">
      <c r="A44" s="13"/>
      <c r="B44" s="13"/>
      <c r="C44" s="13"/>
      <c r="D44" s="13"/>
      <c r="E44" s="13"/>
      <c r="F44" s="13"/>
      <c r="G44" s="13"/>
      <c r="H44" s="13"/>
      <c r="I44" s="13"/>
      <c r="J44" s="13"/>
      <c r="K44" s="13"/>
      <c r="L44" s="13"/>
    </row>
    <row r="45" spans="1:12" hidden="1" x14ac:dyDescent="0.25">
      <c r="A45" s="13"/>
      <c r="B45" s="13"/>
      <c r="C45" s="13"/>
      <c r="D45" s="13"/>
      <c r="E45" s="13"/>
      <c r="F45" s="13"/>
      <c r="G45" s="13"/>
      <c r="H45" s="13"/>
      <c r="I45" s="13"/>
      <c r="J45" s="13"/>
      <c r="K45" s="13"/>
      <c r="L45" s="13"/>
    </row>
    <row r="46" spans="1:12" hidden="1" x14ac:dyDescent="0.25">
      <c r="A46" s="13"/>
      <c r="B46" s="13"/>
      <c r="C46" s="13"/>
      <c r="D46" s="13"/>
      <c r="E46" s="13"/>
      <c r="F46" s="13"/>
      <c r="G46" s="13"/>
      <c r="H46" s="13"/>
      <c r="I46" s="13"/>
      <c r="J46" s="13"/>
      <c r="K46" s="13"/>
      <c r="L46" s="13"/>
    </row>
    <row r="47" spans="1:12" hidden="1" x14ac:dyDescent="0.25">
      <c r="A47" s="13"/>
      <c r="B47" s="13"/>
      <c r="C47" s="13"/>
      <c r="D47" s="13"/>
      <c r="E47" s="13"/>
      <c r="F47" s="13"/>
      <c r="G47" s="13"/>
      <c r="H47" s="13"/>
      <c r="I47" s="13"/>
      <c r="J47" s="13"/>
      <c r="K47" s="13"/>
      <c r="L47" s="13"/>
    </row>
    <row r="48" spans="1:12" hidden="1" x14ac:dyDescent="0.25">
      <c r="A48" s="13"/>
      <c r="B48" s="13"/>
      <c r="C48" s="13"/>
      <c r="D48" s="13"/>
      <c r="E48" s="13"/>
      <c r="F48" s="13"/>
      <c r="G48" s="13"/>
      <c r="H48" s="13"/>
      <c r="I48" s="13"/>
      <c r="J48" s="13"/>
      <c r="K48" s="13"/>
      <c r="L48" s="13"/>
    </row>
    <row r="49" spans="1:12" hidden="1" x14ac:dyDescent="0.25">
      <c r="A49" s="13"/>
      <c r="B49" s="13"/>
      <c r="C49" s="13"/>
      <c r="D49" s="13"/>
      <c r="E49" s="13"/>
      <c r="F49" s="13"/>
      <c r="G49" s="13"/>
      <c r="H49" s="13"/>
      <c r="I49" s="13"/>
      <c r="J49" s="13"/>
      <c r="K49" s="13"/>
      <c r="L49" s="13"/>
    </row>
    <row r="50" spans="1:12" hidden="1" x14ac:dyDescent="0.25">
      <c r="A50" s="13"/>
      <c r="B50" s="13"/>
      <c r="C50" s="13"/>
      <c r="D50" s="13"/>
      <c r="E50" s="13"/>
      <c r="F50" s="13"/>
      <c r="G50" s="13"/>
      <c r="H50" s="13"/>
      <c r="I50" s="13"/>
      <c r="J50" s="13"/>
      <c r="K50" s="13"/>
      <c r="L50" s="13"/>
    </row>
    <row r="51" spans="1:12" hidden="1" x14ac:dyDescent="0.25">
      <c r="A51" s="13"/>
      <c r="B51" s="13"/>
      <c r="C51" s="13"/>
      <c r="D51" s="13"/>
      <c r="E51" s="13"/>
      <c r="F51" s="13"/>
      <c r="G51" s="13"/>
      <c r="H51" s="13"/>
      <c r="I51" s="13"/>
      <c r="J51" s="13"/>
      <c r="K51" s="13"/>
      <c r="L51" s="13"/>
    </row>
    <row r="52" spans="1:12" hidden="1" x14ac:dyDescent="0.25">
      <c r="A52" s="13"/>
      <c r="B52" s="13"/>
      <c r="C52" s="13"/>
      <c r="D52" s="13"/>
      <c r="E52" s="13"/>
      <c r="F52" s="13"/>
      <c r="G52" s="13"/>
      <c r="H52" s="13"/>
      <c r="I52" s="13"/>
      <c r="J52" s="13"/>
      <c r="K52" s="13"/>
      <c r="L52" s="13"/>
    </row>
    <row r="53" spans="1:12" hidden="1" x14ac:dyDescent="0.25">
      <c r="A53" s="13"/>
      <c r="B53" s="13"/>
      <c r="C53" s="13"/>
      <c r="D53" s="13"/>
      <c r="E53" s="13"/>
      <c r="F53" s="13"/>
      <c r="G53" s="13"/>
      <c r="H53" s="13"/>
      <c r="I53" s="13"/>
      <c r="J53" s="13"/>
      <c r="K53" s="13"/>
      <c r="L53" s="13"/>
    </row>
    <row r="54" spans="1:12" hidden="1" x14ac:dyDescent="0.25">
      <c r="A54" s="13"/>
      <c r="B54" s="13"/>
      <c r="C54" s="13"/>
      <c r="D54" s="13"/>
      <c r="E54" s="13"/>
      <c r="F54" s="13"/>
      <c r="G54" s="13"/>
      <c r="H54" s="13"/>
      <c r="I54" s="13"/>
      <c r="J54" s="13"/>
      <c r="K54" s="13"/>
      <c r="L54" s="13"/>
    </row>
    <row r="55" spans="1:12" hidden="1" x14ac:dyDescent="0.25">
      <c r="A55" s="13"/>
      <c r="B55" s="13"/>
      <c r="C55" s="13"/>
      <c r="D55" s="13"/>
      <c r="E55" s="13"/>
      <c r="F55" s="13"/>
      <c r="G55" s="13"/>
      <c r="H55" s="13"/>
      <c r="I55" s="13"/>
      <c r="J55" s="13"/>
      <c r="K55" s="13"/>
      <c r="L55" s="13"/>
    </row>
    <row r="56" spans="1:12" hidden="1" x14ac:dyDescent="0.25">
      <c r="A56" s="13"/>
      <c r="B56" s="13"/>
      <c r="C56" s="13"/>
      <c r="D56" s="13"/>
      <c r="E56" s="13"/>
      <c r="F56" s="13"/>
      <c r="G56" s="13"/>
      <c r="H56" s="13"/>
      <c r="I56" s="13"/>
      <c r="J56" s="13"/>
      <c r="K56" s="13"/>
      <c r="L56" s="13"/>
    </row>
    <row r="57" spans="1:12" hidden="1" x14ac:dyDescent="0.25">
      <c r="A57" s="13"/>
      <c r="B57" s="13"/>
      <c r="C57" s="13"/>
      <c r="D57" s="13"/>
      <c r="E57" s="13"/>
      <c r="F57" s="13"/>
      <c r="G57" s="13"/>
      <c r="H57" s="13"/>
      <c r="I57" s="13"/>
      <c r="J57" s="13"/>
      <c r="K57" s="13"/>
      <c r="L57" s="13"/>
    </row>
    <row r="58" spans="1:12" hidden="1" x14ac:dyDescent="0.25">
      <c r="A58" s="13"/>
      <c r="B58" s="13"/>
      <c r="C58" s="13"/>
      <c r="D58" s="13"/>
      <c r="E58" s="13"/>
      <c r="F58" s="13"/>
      <c r="G58" s="13"/>
      <c r="H58" s="13"/>
      <c r="I58" s="13"/>
      <c r="J58" s="13"/>
      <c r="K58" s="13"/>
      <c r="L58" s="13"/>
    </row>
    <row r="59" spans="1:12" hidden="1" x14ac:dyDescent="0.25">
      <c r="A59" s="13"/>
      <c r="B59" s="13"/>
      <c r="C59" s="13"/>
      <c r="D59" s="13"/>
      <c r="E59" s="13"/>
      <c r="F59" s="13"/>
      <c r="G59" s="13"/>
      <c r="H59" s="13"/>
      <c r="I59" s="13"/>
      <c r="J59" s="13"/>
      <c r="K59" s="13"/>
      <c r="L59" s="13"/>
    </row>
    <row r="60" spans="1:12" hidden="1" x14ac:dyDescent="0.25">
      <c r="A60" s="13"/>
      <c r="B60" s="13"/>
      <c r="C60" s="13"/>
      <c r="D60" s="13"/>
      <c r="E60" s="13"/>
      <c r="F60" s="13"/>
      <c r="G60" s="13"/>
      <c r="H60" s="13"/>
      <c r="I60" s="13"/>
      <c r="J60" s="13"/>
      <c r="K60" s="13"/>
      <c r="L60" s="13"/>
    </row>
    <row r="61" spans="1:12" hidden="1" x14ac:dyDescent="0.25">
      <c r="A61" s="13"/>
      <c r="B61" s="13"/>
      <c r="C61" s="13"/>
      <c r="D61" s="13"/>
      <c r="E61" s="13"/>
      <c r="F61" s="13"/>
      <c r="G61" s="13"/>
      <c r="H61" s="13"/>
      <c r="I61" s="13"/>
      <c r="J61" s="13"/>
      <c r="K61" s="13"/>
      <c r="L61" s="13"/>
    </row>
    <row r="62" spans="1:12" hidden="1" x14ac:dyDescent="0.25">
      <c r="A62" s="13"/>
      <c r="B62" s="13"/>
      <c r="C62" s="13"/>
      <c r="D62" s="13"/>
      <c r="E62" s="13"/>
      <c r="F62" s="13"/>
      <c r="G62" s="13"/>
      <c r="H62" s="13"/>
      <c r="I62" s="13"/>
      <c r="J62" s="13"/>
      <c r="K62" s="13"/>
      <c r="L62" s="13"/>
    </row>
    <row r="63" spans="1:12" hidden="1" x14ac:dyDescent="0.25">
      <c r="A63" s="13"/>
      <c r="B63" s="13"/>
      <c r="C63" s="13"/>
      <c r="D63" s="13"/>
      <c r="E63" s="13"/>
      <c r="F63" s="13"/>
      <c r="G63" s="13"/>
      <c r="H63" s="13"/>
      <c r="I63" s="13"/>
      <c r="J63" s="13"/>
      <c r="K63" s="13"/>
      <c r="L63" s="13"/>
    </row>
    <row r="64" spans="1:12" hidden="1" x14ac:dyDescent="0.25">
      <c r="A64" s="13"/>
      <c r="B64" s="13"/>
      <c r="C64" s="13"/>
      <c r="D64" s="13"/>
      <c r="E64" s="13"/>
      <c r="F64" s="13"/>
      <c r="G64" s="13"/>
      <c r="H64" s="13"/>
      <c r="I64" s="13"/>
      <c r="J64" s="13"/>
      <c r="K64" s="13"/>
      <c r="L64" s="13"/>
    </row>
    <row r="65" spans="1:12" hidden="1" x14ac:dyDescent="0.25">
      <c r="A65" s="13"/>
      <c r="B65" s="13"/>
      <c r="C65" s="13"/>
      <c r="D65" s="13"/>
      <c r="E65" s="13"/>
      <c r="F65" s="13"/>
      <c r="G65" s="13"/>
      <c r="H65" s="13"/>
      <c r="I65" s="13"/>
      <c r="J65" s="13"/>
      <c r="K65" s="13"/>
      <c r="L65" s="13"/>
    </row>
    <row r="66" spans="1:12" hidden="1" x14ac:dyDescent="0.25">
      <c r="A66" s="13"/>
      <c r="B66" s="13"/>
      <c r="C66" s="13"/>
      <c r="D66" s="13"/>
      <c r="E66" s="13"/>
      <c r="F66" s="13"/>
      <c r="G66" s="13"/>
      <c r="H66" s="13"/>
      <c r="I66" s="13"/>
      <c r="J66" s="13"/>
      <c r="K66" s="13"/>
      <c r="L66" s="13"/>
    </row>
    <row r="67" spans="1:12" hidden="1" x14ac:dyDescent="0.25">
      <c r="A67" s="13"/>
      <c r="B67" s="13"/>
      <c r="C67" s="13"/>
      <c r="D67" s="13"/>
      <c r="E67" s="13"/>
      <c r="F67" s="13"/>
      <c r="G67" s="13"/>
      <c r="H67" s="13"/>
      <c r="I67" s="13"/>
      <c r="J67" s="13"/>
      <c r="K67" s="13"/>
      <c r="L67" s="13"/>
    </row>
    <row r="68" spans="1:12" hidden="1" x14ac:dyDescent="0.25">
      <c r="A68" s="13"/>
      <c r="B68" s="13"/>
      <c r="C68" s="13"/>
      <c r="D68" s="13"/>
      <c r="E68" s="13"/>
      <c r="F68" s="13"/>
      <c r="G68" s="13"/>
      <c r="H68" s="13"/>
      <c r="I68" s="13"/>
      <c r="J68" s="13"/>
      <c r="K68" s="13"/>
      <c r="L68" s="13"/>
    </row>
    <row r="69" spans="1:12" hidden="1" x14ac:dyDescent="0.25">
      <c r="A69" s="13"/>
      <c r="B69" s="13"/>
      <c r="C69" s="13"/>
      <c r="D69" s="13"/>
      <c r="E69" s="13"/>
      <c r="F69" s="13"/>
      <c r="G69" s="13"/>
      <c r="H69" s="13"/>
      <c r="I69" s="13"/>
      <c r="J69" s="13"/>
      <c r="K69" s="13"/>
      <c r="L69" s="13"/>
    </row>
    <row r="70" spans="1:12" hidden="1" x14ac:dyDescent="0.25">
      <c r="A70" s="13"/>
      <c r="B70" s="13"/>
      <c r="C70" s="13"/>
      <c r="D70" s="13"/>
      <c r="E70" s="13"/>
      <c r="F70" s="13"/>
      <c r="G70" s="13"/>
      <c r="H70" s="13"/>
      <c r="I70" s="13"/>
      <c r="J70" s="13"/>
      <c r="K70" s="13"/>
      <c r="L70" s="13"/>
    </row>
    <row r="71" spans="1:12" hidden="1" x14ac:dyDescent="0.25">
      <c r="A71" s="13"/>
      <c r="B71" s="13"/>
      <c r="C71" s="13"/>
      <c r="D71" s="13"/>
      <c r="E71" s="13"/>
      <c r="F71" s="13"/>
      <c r="G71" s="13"/>
      <c r="H71" s="13"/>
      <c r="I71" s="13"/>
      <c r="J71" s="13"/>
      <c r="K71" s="13"/>
      <c r="L71" s="13"/>
    </row>
    <row r="72" spans="1:12" hidden="1" x14ac:dyDescent="0.25">
      <c r="A72" s="13"/>
      <c r="B72" s="13"/>
      <c r="C72" s="13"/>
      <c r="D72" s="13"/>
      <c r="E72" s="13"/>
      <c r="F72" s="13"/>
      <c r="G72" s="13"/>
      <c r="H72" s="13"/>
      <c r="I72" s="13"/>
      <c r="J72" s="13"/>
      <c r="K72" s="13"/>
      <c r="L72" s="13"/>
    </row>
    <row r="73" spans="1:12" hidden="1" x14ac:dyDescent="0.25"/>
  </sheetData>
  <sheetProtection algorithmName="SHA-512" hashValue="yqUB6mGw8p1sOeRA9RtK7jeb3UGuvWgw9TEpQdQkx/aL9C+c1RWnLs6P2dSGf+yT3Nnf1RysxXtjo3PjFk1UeQ==" saltValue="8+8QFEUHDeR86nKNm1MVyg==" spinCount="100000" sheet="1" objects="1" scenarios="1"/>
  <mergeCells count="4">
    <mergeCell ref="C4:F5"/>
    <mergeCell ref="G4:I5"/>
    <mergeCell ref="A1:L1"/>
    <mergeCell ref="A2:L2"/>
  </mergeCells>
  <conditionalFormatting sqref="G4">
    <cfRule type="expression" dxfId="340" priority="2">
      <formula>$N$6&gt;60</formula>
    </cfRule>
    <cfRule type="expression" dxfId="339" priority="3">
      <formula>AND($N$6&lt;60,$N$6&gt;51)</formula>
    </cfRule>
    <cfRule type="expression" dxfId="338" priority="4">
      <formula>AND($N$6&lt;52,$N$6&gt;43)</formula>
    </cfRule>
    <cfRule type="expression" dxfId="337" priority="5">
      <formula>$N$6&lt;32</formula>
    </cfRule>
    <cfRule type="expression" dxfId="336" priority="6">
      <formula>AND($N$6&lt;44,$N$6&gt;31)</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58B527"/>
  </sheetPr>
  <dimension ref="A1:Q57"/>
  <sheetViews>
    <sheetView showRowColHeaders="0" zoomScale="90" zoomScaleNormal="90" workbookViewId="0">
      <selection activeCell="K2" sqref="K2"/>
    </sheetView>
  </sheetViews>
  <sheetFormatPr defaultColWidth="0" defaultRowHeight="0" customHeight="1" zeroHeight="1" x14ac:dyDescent="0.25"/>
  <cols>
    <col min="1" max="1" width="4.7109375" customWidth="1"/>
    <col min="2" max="2" width="30.5703125" customWidth="1"/>
    <col min="3" max="3" width="4.7109375" customWidth="1"/>
    <col min="4" max="4" width="10.7109375" customWidth="1"/>
    <col min="5" max="6" width="20.5703125" customWidth="1"/>
    <col min="7" max="8" width="19.7109375" customWidth="1"/>
    <col min="9" max="9" width="10.28515625" customWidth="1"/>
    <col min="10" max="10" width="8" customWidth="1"/>
    <col min="11" max="11" width="4.28515625" customWidth="1"/>
    <col min="12" max="12" width="4.7109375" customWidth="1"/>
    <col min="13" max="17" width="0" hidden="1" customWidth="1"/>
    <col min="18" max="16384" width="9.140625" hidden="1"/>
  </cols>
  <sheetData>
    <row r="1" spans="1:12" ht="33.75" customHeight="1" x14ac:dyDescent="0.25">
      <c r="A1" s="354"/>
      <c r="B1" s="1403" t="s">
        <v>57</v>
      </c>
      <c r="C1" s="355"/>
      <c r="D1" s="342"/>
      <c r="E1" s="343"/>
      <c r="F1" s="343"/>
      <c r="G1" s="343"/>
      <c r="H1" s="343"/>
      <c r="I1" s="343"/>
      <c r="J1" s="343"/>
      <c r="K1" s="343"/>
      <c r="L1" s="344"/>
    </row>
    <row r="2" spans="1:12" ht="30.75" customHeight="1" x14ac:dyDescent="0.25">
      <c r="A2" s="356"/>
      <c r="B2" s="1404"/>
      <c r="C2" s="357"/>
      <c r="D2" s="345"/>
      <c r="E2" s="346"/>
      <c r="F2" s="346"/>
      <c r="G2" s="346"/>
      <c r="H2" s="346"/>
      <c r="I2" s="346"/>
      <c r="J2" s="346"/>
      <c r="K2" s="346"/>
      <c r="L2" s="347"/>
    </row>
    <row r="3" spans="1:12" ht="20.25" customHeight="1" x14ac:dyDescent="0.25">
      <c r="A3" s="356"/>
      <c r="B3" s="1404"/>
      <c r="C3" s="357"/>
      <c r="D3" s="345"/>
      <c r="E3" s="1405" t="s">
        <v>391</v>
      </c>
      <c r="F3" s="1406"/>
      <c r="G3" s="1409" t="s">
        <v>392</v>
      </c>
      <c r="H3" s="1409" t="s">
        <v>56</v>
      </c>
      <c r="I3" s="346"/>
      <c r="J3" s="346"/>
      <c r="K3" s="346"/>
      <c r="L3" s="347"/>
    </row>
    <row r="4" spans="1:12" ht="15" customHeight="1" x14ac:dyDescent="0.25">
      <c r="A4" s="356"/>
      <c r="B4" s="1402" t="str">
        <f>IF(A1="","To monitor and reduce the energy consumption of a building through, for example, passive design, the use of natural ventilation and the installation of energy-efficient equipment (HVAC, lighting, water heater, etc.)","Để cải thiện và giám sát chặt chẽ việc sử dụng năng lượng trong một công trình qua việc nâng mức cách nhiệt, sử dụng thông gió tự nhiên và các thiết bị tiết kiệm điện (như thiết bị điều hòa, chiếu sang, đun nước nóng,…)")</f>
        <v>To monitor and reduce the energy consumption of a building through, for example, passive design, the use of natural ventilation and the installation of energy-efficient equipment (HVAC, lighting, water heater, etc.)</v>
      </c>
      <c r="C4" s="358"/>
      <c r="D4" s="345"/>
      <c r="E4" s="1407"/>
      <c r="F4" s="1408"/>
      <c r="G4" s="1409"/>
      <c r="H4" s="1409"/>
      <c r="I4" s="346"/>
      <c r="J4" s="346"/>
      <c r="K4" s="346"/>
      <c r="L4" s="347"/>
    </row>
    <row r="5" spans="1:12" ht="21.75" customHeight="1" x14ac:dyDescent="0.25">
      <c r="A5" s="356"/>
      <c r="B5" s="1402"/>
      <c r="C5" s="358"/>
      <c r="D5" s="345"/>
      <c r="E5" s="1400" t="s">
        <v>17</v>
      </c>
      <c r="F5" s="1401"/>
      <c r="G5" s="183">
        <v>5</v>
      </c>
      <c r="H5" s="183">
        <f>MIN(5,SUM('E-1 Passive Design'!G12:G14))</f>
        <v>0</v>
      </c>
      <c r="I5" s="346"/>
      <c r="J5" s="346"/>
      <c r="K5" s="346"/>
      <c r="L5" s="347"/>
    </row>
    <row r="6" spans="1:12" ht="21.75" customHeight="1" x14ac:dyDescent="0.25">
      <c r="A6" s="356"/>
      <c r="B6" s="1402"/>
      <c r="C6" s="358"/>
      <c r="D6" s="345"/>
      <c r="E6" s="1400" t="s">
        <v>18</v>
      </c>
      <c r="F6" s="1401"/>
      <c r="G6" s="183">
        <v>4</v>
      </c>
      <c r="H6" s="183">
        <f>MIN(4,SUM('E-2 Building Envelope'!G14:G17,'E-2 Building Envelope'!G21:G23))</f>
        <v>0</v>
      </c>
      <c r="I6" s="346"/>
      <c r="J6" s="346"/>
      <c r="K6" s="346"/>
      <c r="L6" s="347"/>
    </row>
    <row r="7" spans="1:12" ht="21.75" customHeight="1" x14ac:dyDescent="0.25">
      <c r="A7" s="356"/>
      <c r="B7" s="1402"/>
      <c r="C7" s="358"/>
      <c r="D7" s="345"/>
      <c r="E7" s="1400" t="s">
        <v>394</v>
      </c>
      <c r="F7" s="1401"/>
      <c r="G7" s="183">
        <v>6</v>
      </c>
      <c r="H7" s="183">
        <f>MIN(6,'E-3 Home Cooling'!H23+'E-3 Home Cooling'!H36)</f>
        <v>0</v>
      </c>
      <c r="I7" s="346"/>
      <c r="J7" s="346"/>
      <c r="K7" s="346"/>
      <c r="L7" s="347"/>
    </row>
    <row r="8" spans="1:12" ht="21.75" customHeight="1" x14ac:dyDescent="0.25">
      <c r="A8" s="359"/>
      <c r="B8" s="1402"/>
      <c r="C8" s="358"/>
      <c r="D8" s="345"/>
      <c r="E8" s="1400" t="s">
        <v>22</v>
      </c>
      <c r="F8" s="1401"/>
      <c r="G8" s="183">
        <v>3</v>
      </c>
      <c r="H8" s="183">
        <f>IF('E-4 Artificial Lighting'!D11="Prescriptive Path",'E-4 Artificial Lighting'!G14,IF('E-4 Artificial Lighting'!D11="Performance Path",'E-4 Artificial Lighting'!G17,0))</f>
        <v>0</v>
      </c>
      <c r="I8" s="346"/>
      <c r="J8" s="346"/>
      <c r="K8" s="346"/>
      <c r="L8" s="347"/>
    </row>
    <row r="9" spans="1:12" ht="21.75" customHeight="1" x14ac:dyDescent="0.25">
      <c r="A9" s="359"/>
      <c r="B9" s="1402"/>
      <c r="C9" s="358"/>
      <c r="D9" s="345"/>
      <c r="E9" s="1400" t="s">
        <v>1958</v>
      </c>
      <c r="F9" s="1401"/>
      <c r="G9" s="183">
        <v>2</v>
      </c>
      <c r="H9" s="183">
        <f>IF('E-5 Water Heating'!D11="Option A: Solar water heating",'E-5 Water Heating'!G14,IF('E-5 Water Heating'!D11="Option B: Heat pump water heating",'E-5 Water Heating'!G15,0))</f>
        <v>0</v>
      </c>
      <c r="I9" s="346"/>
      <c r="J9" s="364"/>
      <c r="K9" s="364"/>
      <c r="L9" s="365"/>
    </row>
    <row r="10" spans="1:12" ht="21.75" customHeight="1" x14ac:dyDescent="0.25">
      <c r="A10" s="359"/>
      <c r="B10" s="1402"/>
      <c r="C10" s="358"/>
      <c r="D10" s="345"/>
      <c r="E10" s="1400" t="s">
        <v>99</v>
      </c>
      <c r="F10" s="1401"/>
      <c r="G10" s="183">
        <v>3</v>
      </c>
      <c r="H10" s="183">
        <f>'E-6 Energy Efficient Appliances'!G12</f>
        <v>0</v>
      </c>
      <c r="I10" s="346"/>
      <c r="J10" s="346"/>
      <c r="K10" s="346"/>
      <c r="L10" s="347"/>
    </row>
    <row r="11" spans="1:12" ht="21.75" customHeight="1" x14ac:dyDescent="0.25">
      <c r="A11" s="359"/>
      <c r="B11" s="1402"/>
      <c r="C11" s="358"/>
      <c r="D11" s="345"/>
      <c r="E11" s="1400" t="s">
        <v>2409</v>
      </c>
      <c r="F11" s="1401"/>
      <c r="G11" s="183">
        <v>1</v>
      </c>
      <c r="H11" s="183">
        <f>'E-7 Energy Monitor'!C40</f>
        <v>0</v>
      </c>
      <c r="I11" s="346"/>
      <c r="J11" s="346"/>
      <c r="K11" s="346"/>
      <c r="L11" s="347"/>
    </row>
    <row r="12" spans="1:12" ht="21.75" customHeight="1" x14ac:dyDescent="0.25">
      <c r="A12" s="359"/>
      <c r="B12" s="1402"/>
      <c r="C12" s="358"/>
      <c r="D12" s="345"/>
      <c r="E12" s="1400" t="s">
        <v>393</v>
      </c>
      <c r="F12" s="1401"/>
      <c r="G12" s="183">
        <v>5</v>
      </c>
      <c r="H12" s="183">
        <f>SUM('Energy BPC'!G11:G13)</f>
        <v>0</v>
      </c>
      <c r="I12" s="346"/>
      <c r="J12" s="346"/>
      <c r="K12" s="346"/>
      <c r="L12" s="347"/>
    </row>
    <row r="13" spans="1:12" ht="23.25" customHeight="1" x14ac:dyDescent="0.25">
      <c r="A13" s="359"/>
      <c r="B13" s="360"/>
      <c r="C13" s="358"/>
      <c r="D13" s="345"/>
      <c r="E13" s="107" t="s">
        <v>82</v>
      </c>
      <c r="F13" s="108"/>
      <c r="G13" s="109">
        <f>SUM(G5:G12)</f>
        <v>29</v>
      </c>
      <c r="H13" s="109">
        <f>SUM(H5:H12)</f>
        <v>0</v>
      </c>
      <c r="I13" s="346"/>
      <c r="J13" s="346"/>
      <c r="K13" s="346"/>
      <c r="L13" s="347"/>
    </row>
    <row r="14" spans="1:12" ht="15" customHeight="1" x14ac:dyDescent="0.25">
      <c r="A14" s="359"/>
      <c r="B14" s="360"/>
      <c r="C14" s="358"/>
      <c r="D14" s="345"/>
      <c r="E14" s="346"/>
      <c r="F14" s="346"/>
      <c r="G14" s="346"/>
      <c r="H14" s="346"/>
      <c r="I14" s="346"/>
      <c r="J14" s="346"/>
      <c r="K14" s="346"/>
      <c r="L14" s="347"/>
    </row>
    <row r="15" spans="1:12" ht="15" customHeight="1" x14ac:dyDescent="0.25">
      <c r="A15" s="361"/>
      <c r="B15" s="362"/>
      <c r="C15" s="363"/>
      <c r="D15" s="348"/>
      <c r="E15" s="349"/>
      <c r="F15" s="349"/>
      <c r="G15" s="349"/>
      <c r="H15" s="349"/>
      <c r="I15" s="349"/>
      <c r="J15" s="349"/>
      <c r="K15" s="349"/>
      <c r="L15" s="350"/>
    </row>
    <row r="16" spans="1:12" ht="15" hidden="1" customHeight="1" x14ac:dyDescent="0.25">
      <c r="A16" s="106"/>
      <c r="B16" s="353"/>
      <c r="C16" s="191"/>
      <c r="D16" s="1"/>
      <c r="E16" s="1"/>
      <c r="F16" s="1"/>
      <c r="G16" s="1"/>
      <c r="H16" s="1"/>
      <c r="I16" s="1"/>
      <c r="J16" s="1"/>
      <c r="K16" s="1"/>
      <c r="L16" s="1"/>
    </row>
    <row r="17" spans="1:12" ht="15" hidden="1" customHeight="1" x14ac:dyDescent="0.25">
      <c r="A17" s="106"/>
      <c r="B17" s="353"/>
      <c r="C17" s="191"/>
      <c r="D17" s="1"/>
      <c r="E17" s="1"/>
      <c r="F17" s="1"/>
      <c r="G17" s="1"/>
      <c r="H17" s="1"/>
      <c r="I17" s="1"/>
      <c r="J17" s="1"/>
      <c r="K17" s="1"/>
      <c r="L17" s="1"/>
    </row>
    <row r="18" spans="1:12" ht="15" hidden="1" customHeight="1" x14ac:dyDescent="0.25">
      <c r="A18" s="106"/>
      <c r="B18" s="353"/>
      <c r="C18" s="191"/>
      <c r="D18" s="1"/>
      <c r="E18" s="1"/>
      <c r="F18" s="1"/>
      <c r="G18" s="1"/>
      <c r="H18" s="1"/>
      <c r="I18" s="1"/>
      <c r="J18" s="1"/>
      <c r="K18" s="1"/>
      <c r="L18" s="1"/>
    </row>
    <row r="19" spans="1:12" ht="15" hidden="1" customHeight="1" x14ac:dyDescent="0.25">
      <c r="A19" s="106"/>
      <c r="B19" s="353"/>
      <c r="C19" s="191"/>
      <c r="D19" s="1"/>
      <c r="E19" s="1"/>
      <c r="F19" s="1"/>
      <c r="G19" s="1"/>
      <c r="H19" s="1"/>
      <c r="I19" s="1"/>
      <c r="J19" s="1"/>
      <c r="K19" s="1"/>
      <c r="L19" s="1"/>
    </row>
    <row r="20" spans="1:12" ht="15" hidden="1" customHeight="1" x14ac:dyDescent="0.25">
      <c r="A20" s="106"/>
      <c r="B20" s="353"/>
      <c r="C20" s="191"/>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E44" s="1"/>
      <c r="F44" s="1"/>
      <c r="G44" s="1"/>
      <c r="H44" s="1"/>
      <c r="I44" s="1"/>
      <c r="J44" s="1"/>
      <c r="K44" s="1"/>
      <c r="L44" s="1"/>
    </row>
    <row r="45" spans="1:12" ht="15" hidden="1" customHeight="1" x14ac:dyDescent="0.25">
      <c r="A45" s="1"/>
      <c r="B45" s="2"/>
      <c r="C45" s="2"/>
      <c r="D45" s="1"/>
      <c r="E45" s="1"/>
      <c r="F45" s="1"/>
      <c r="G45" s="1"/>
      <c r="H45" s="1"/>
      <c r="I45" s="1"/>
      <c r="J45" s="1"/>
      <c r="K45" s="1"/>
      <c r="L45" s="1"/>
    </row>
    <row r="46" spans="1:12" ht="15" hidden="1" customHeight="1" x14ac:dyDescent="0.25">
      <c r="A46" s="1"/>
      <c r="B46" s="2"/>
      <c r="C46" s="2"/>
      <c r="D46" s="1"/>
      <c r="E46" s="1"/>
      <c r="F46" s="1"/>
      <c r="G46" s="1"/>
      <c r="H46" s="1"/>
      <c r="I46" s="1"/>
      <c r="J46" s="1"/>
      <c r="K46" s="1"/>
      <c r="L46" s="1"/>
    </row>
    <row r="47" spans="1:12" ht="15" hidden="1" customHeight="1" x14ac:dyDescent="0.25">
      <c r="D47" s="1"/>
      <c r="E47" s="1"/>
      <c r="F47" s="1"/>
      <c r="G47" s="1"/>
      <c r="H47" s="1"/>
      <c r="I47" s="1"/>
    </row>
    <row r="48" spans="1:12" ht="15" hidden="1" customHeight="1" x14ac:dyDescent="0.25">
      <c r="D48" s="1"/>
    </row>
    <row r="49" spans="4:4" ht="15" hidden="1" customHeight="1" x14ac:dyDescent="0.25">
      <c r="D49" s="1"/>
    </row>
    <row r="50" spans="4:4" ht="15" hidden="1" customHeight="1" x14ac:dyDescent="0.25">
      <c r="D50" s="1"/>
    </row>
    <row r="51" spans="4:4" ht="15" hidden="1" customHeight="1" x14ac:dyDescent="0.25"/>
    <row r="52" spans="4:4" ht="15" hidden="1" customHeight="1" x14ac:dyDescent="0.25"/>
    <row r="53" spans="4:4" ht="15" hidden="1" customHeight="1" x14ac:dyDescent="0.25"/>
    <row r="54" spans="4:4" ht="15" hidden="1" customHeight="1" x14ac:dyDescent="0.25"/>
    <row r="55" spans="4:4" ht="15" hidden="1" customHeight="1" x14ac:dyDescent="0.25"/>
    <row r="56" spans="4:4" ht="15" hidden="1" customHeight="1" x14ac:dyDescent="0.25"/>
    <row r="57" spans="4:4" ht="15" hidden="1" customHeight="1" x14ac:dyDescent="0.25"/>
  </sheetData>
  <sheetProtection algorithmName="SHA-512" hashValue="jKEJ2ueA9ZRZjfej2HmBOcncgShazOIuSGYxE+n4mRbnB3+g2/Jq3l5Yn/CmeFXRNyI7hQxCOOxU3V+CPCPB0w==" saltValue="1o+her3MgXKxArEUUR0dmg==" spinCount="100000" sheet="1" objects="1" scenarios="1"/>
  <mergeCells count="13">
    <mergeCell ref="G3:G4"/>
    <mergeCell ref="H3:H4"/>
    <mergeCell ref="E10:F10"/>
    <mergeCell ref="E5:F5"/>
    <mergeCell ref="E6:F6"/>
    <mergeCell ref="E7:F7"/>
    <mergeCell ref="E8:F8"/>
    <mergeCell ref="E9:F9"/>
    <mergeCell ref="E11:F11"/>
    <mergeCell ref="E12:F12"/>
    <mergeCell ref="B4:B12"/>
    <mergeCell ref="B1:B3"/>
    <mergeCell ref="E3:F4"/>
  </mergeCells>
  <hyperlinks>
    <hyperlink ref="E5" location="'E-1 Passive Design'!A1" tooltip="E-1 Passive design" display="E-1 Passive design"/>
    <hyperlink ref="E6" location="'E-2 Building Envelope'!A1" tooltip="E-2 Building Envelope" display="E-2 Building Envelope"/>
    <hyperlink ref="E7" location="'E-3 Home cooling'!A1" tooltip="E-3 Home Cooling" display="E-3 Home Cooling"/>
    <hyperlink ref="E8" location="'E-4 Artificial Lighting'!A1" tooltip="E-4 Artificial Lighting" display="E-4 Artificial Lighting"/>
    <hyperlink ref="E9" location="'E-5 Domestic water heating'!A1" tooltip="E-5 Domestic water heating" display="E-5 Domestic water heating"/>
    <hyperlink ref="E10" location="'E-6 Energy Efficient Appliances'!A1" tooltip="E-6 Energy Efficient Appliances" display="E-6 Energy Efficient Appliances"/>
    <hyperlink ref="E11" location="'E-7 Energy Monitors '!A1" tooltip="E-7 Energy Monitors " display="E-7 Energy Monitors "/>
    <hyperlink ref="E12:F12" location="'Energy BPC'!B3" tooltip="Best Practice Credits" display="Best Practice Credits"/>
    <hyperlink ref="E9:F9" location="'E-5 Water heating'!D3" tooltip="E-5 Water heating" display="E-5 Water heating"/>
    <hyperlink ref="E5:F5" location="'E-1 Passive Design'!B3" tooltip="E-1 Passive design" display="E-1 Passive design"/>
    <hyperlink ref="E6:F6" location="'E-2 Building Envelope'!B3" tooltip="E-2 Building Envelope" display="E-2 Building Envelope"/>
    <hyperlink ref="E7:F7" location="'E-3 Home cooling'!B3" tooltip="E-3 Home Cooling" display="E-3 Home Cooling"/>
    <hyperlink ref="E8:F8" location="'E-4 Artificial Lighting'!D3" tooltip="E-4 Artificial Lighting" display="E-4 Artificial Lighting"/>
    <hyperlink ref="E10:F10" location="'E-6 Energy Efficient Appliances'!E3" tooltip="E-6 Energy Efficient Appliances" display="E-6 Energy Efficient Appliances"/>
    <hyperlink ref="E11:F11" location="'E-7 Energy Monitor'!D3" tooltip="E-7 Energy Monitors " display="E-7 Energy Monitor"/>
  </hyperlinks>
  <pageMargins left="0.7" right="0.7" top="0.75" bottom="0.75" header="0.3" footer="0.3"/>
  <pageSetup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58B527"/>
  </sheetPr>
  <dimension ref="A1:N175"/>
  <sheetViews>
    <sheetView showRowColHeaders="0" zoomScaleNormal="100" workbookViewId="0">
      <pane ySplit="7" topLeftCell="A9" activePane="bottomLeft" state="frozen"/>
      <selection pane="bottomLeft" activeCell="L4" sqref="L4"/>
    </sheetView>
  </sheetViews>
  <sheetFormatPr defaultColWidth="0" defaultRowHeight="15" customHeight="1" zeroHeight="1" x14ac:dyDescent="0.25"/>
  <cols>
    <col min="1" max="1" width="3.7109375" style="42" customWidth="1"/>
    <col min="2" max="4" width="20.85546875" style="42" customWidth="1"/>
    <col min="5" max="5" width="21.28515625" style="42" customWidth="1"/>
    <col min="6" max="8" width="18.28515625" style="42" customWidth="1"/>
    <col min="9" max="9" width="13.7109375" style="42" customWidth="1"/>
    <col min="10" max="13" width="8.7109375" style="42" customWidth="1"/>
    <col min="14" max="16384" width="9.140625" style="42" hidden="1"/>
  </cols>
  <sheetData>
    <row r="1" spans="1:14" ht="23.25" x14ac:dyDescent="0.25">
      <c r="A1" s="1413" t="s">
        <v>17</v>
      </c>
      <c r="B1" s="1413"/>
      <c r="C1" s="1413"/>
      <c r="D1" s="1413"/>
      <c r="E1" s="1413"/>
      <c r="F1" s="1413"/>
      <c r="G1" s="408"/>
      <c r="H1" s="408"/>
      <c r="I1" s="408"/>
      <c r="J1" s="408"/>
      <c r="K1" s="408"/>
      <c r="L1" s="408"/>
      <c r="M1" s="408"/>
    </row>
    <row r="2" spans="1:14" ht="15" customHeight="1" x14ac:dyDescent="0.25">
      <c r="A2" s="53"/>
      <c r="B2" s="54"/>
      <c r="C2" s="54"/>
      <c r="D2" s="54"/>
      <c r="E2" s="54"/>
      <c r="F2" s="53"/>
      <c r="G2" s="53"/>
      <c r="H2" s="53"/>
      <c r="I2" s="1426" t="s">
        <v>544</v>
      </c>
      <c r="J2" s="1426"/>
      <c r="K2" s="239" t="s">
        <v>66</v>
      </c>
      <c r="L2" s="239" t="s">
        <v>77</v>
      </c>
      <c r="M2" s="239"/>
    </row>
    <row r="3" spans="1:14" ht="15" customHeight="1" x14ac:dyDescent="0.25">
      <c r="A3" s="53"/>
      <c r="B3" s="54"/>
      <c r="C3" s="54"/>
      <c r="D3" s="54"/>
      <c r="E3" s="54"/>
      <c r="F3" s="53"/>
      <c r="G3" s="53"/>
      <c r="H3" s="53"/>
      <c r="I3" s="1426"/>
      <c r="J3" s="1426"/>
      <c r="K3" s="239" t="s">
        <v>70</v>
      </c>
      <c r="L3" s="239" t="s">
        <v>81</v>
      </c>
      <c r="M3" s="239" t="s">
        <v>79</v>
      </c>
    </row>
    <row r="4" spans="1:14" ht="15" customHeight="1" x14ac:dyDescent="0.25">
      <c r="A4" s="53"/>
      <c r="B4" s="54"/>
      <c r="C4" s="54"/>
      <c r="D4" s="54"/>
      <c r="E4" s="54"/>
      <c r="F4" s="53"/>
      <c r="G4" s="53"/>
      <c r="H4" s="53"/>
      <c r="I4" s="1427"/>
      <c r="J4" s="1427"/>
      <c r="K4" s="239" t="s">
        <v>73</v>
      </c>
      <c r="L4" s="239" t="s">
        <v>102</v>
      </c>
      <c r="M4" s="240"/>
    </row>
    <row r="5" spans="1:14" ht="21" customHeight="1" x14ac:dyDescent="0.25">
      <c r="A5" s="1417" t="s">
        <v>2406</v>
      </c>
      <c r="B5" s="1418"/>
      <c r="C5" s="1418"/>
      <c r="D5" s="1418"/>
      <c r="E5" s="1418"/>
      <c r="F5" s="1418"/>
      <c r="G5" s="1418"/>
      <c r="H5" s="1418"/>
      <c r="I5" s="1418"/>
      <c r="J5" s="1418"/>
      <c r="K5" s="1418"/>
      <c r="L5" s="1418"/>
      <c r="M5" s="1419"/>
    </row>
    <row r="6" spans="1:14" ht="21" customHeight="1" x14ac:dyDescent="0.25">
      <c r="A6" s="1420"/>
      <c r="B6" s="1421"/>
      <c r="C6" s="1421"/>
      <c r="D6" s="1421"/>
      <c r="E6" s="1421"/>
      <c r="F6" s="1421"/>
      <c r="G6" s="1421"/>
      <c r="H6" s="1421"/>
      <c r="I6" s="1421"/>
      <c r="J6" s="1421"/>
      <c r="K6" s="1421"/>
      <c r="L6" s="1421"/>
      <c r="M6" s="1422"/>
    </row>
    <row r="7" spans="1:14" ht="21" customHeight="1" x14ac:dyDescent="0.25">
      <c r="A7" s="1423"/>
      <c r="B7" s="1424"/>
      <c r="C7" s="1424"/>
      <c r="D7" s="1424"/>
      <c r="E7" s="1424"/>
      <c r="F7" s="1424"/>
      <c r="G7" s="1424"/>
      <c r="H7" s="1424"/>
      <c r="I7" s="1424"/>
      <c r="J7" s="1424"/>
      <c r="K7" s="1424"/>
      <c r="L7" s="1424"/>
      <c r="M7" s="1425"/>
    </row>
    <row r="8" spans="1:14" ht="12" customHeight="1" x14ac:dyDescent="0.25">
      <c r="A8" s="53"/>
      <c r="B8" s="54"/>
      <c r="C8" s="54"/>
      <c r="D8" s="54"/>
      <c r="E8" s="54"/>
      <c r="F8" s="53"/>
      <c r="G8" s="53"/>
      <c r="H8" s="53"/>
      <c r="I8" s="53"/>
      <c r="J8" s="53"/>
      <c r="K8" s="53"/>
      <c r="L8" s="53"/>
      <c r="M8" s="53"/>
    </row>
    <row r="9" spans="1:14" ht="18.75" customHeight="1" x14ac:dyDescent="0.25">
      <c r="A9" s="1432" t="s">
        <v>191</v>
      </c>
      <c r="B9" s="1432"/>
      <c r="C9" s="1432"/>
      <c r="D9" s="1432"/>
      <c r="E9" s="1432"/>
      <c r="F9" s="1432"/>
      <c r="G9" s="1432"/>
      <c r="H9" s="1432"/>
      <c r="I9" s="1432"/>
      <c r="J9" s="1432"/>
      <c r="K9" s="1432"/>
      <c r="L9" s="1432"/>
      <c r="M9" s="1432"/>
    </row>
    <row r="10" spans="1:14" ht="16.5" customHeight="1" x14ac:dyDescent="0.25">
      <c r="A10" s="53"/>
      <c r="B10" s="54"/>
      <c r="C10" s="54"/>
      <c r="D10" s="54"/>
      <c r="E10" s="54"/>
      <c r="F10" s="53"/>
      <c r="G10" s="53"/>
      <c r="H10" s="53"/>
      <c r="I10" s="53"/>
      <c r="J10" s="53"/>
      <c r="K10" s="53"/>
      <c r="L10" s="53"/>
      <c r="M10" s="53"/>
    </row>
    <row r="11" spans="1:14" ht="19.5" customHeight="1" x14ac:dyDescent="0.25">
      <c r="A11" s="53"/>
      <c r="B11" s="1428" t="s">
        <v>192</v>
      </c>
      <c r="C11" s="1429"/>
      <c r="D11" s="1429"/>
      <c r="E11" s="1429"/>
      <c r="F11" s="485" t="s">
        <v>157</v>
      </c>
      <c r="G11" s="485" t="s">
        <v>56</v>
      </c>
      <c r="H11" s="98" t="s">
        <v>521</v>
      </c>
      <c r="I11" s="53"/>
      <c r="J11" s="53"/>
      <c r="K11" s="53"/>
      <c r="L11" s="53"/>
      <c r="M11" s="53"/>
    </row>
    <row r="12" spans="1:14" ht="42" customHeight="1" x14ac:dyDescent="0.25">
      <c r="A12" s="53"/>
      <c r="B12" s="1430" t="s">
        <v>1937</v>
      </c>
      <c r="C12" s="1431" t="s">
        <v>230</v>
      </c>
      <c r="D12" s="1431" t="s">
        <v>230</v>
      </c>
      <c r="E12" s="1431" t="s">
        <v>230</v>
      </c>
      <c r="F12" s="59">
        <v>2</v>
      </c>
      <c r="G12" s="484">
        <f>C46</f>
        <v>0</v>
      </c>
      <c r="H12" s="484" t="str">
        <f>C47</f>
        <v>No</v>
      </c>
      <c r="I12" s="53"/>
      <c r="J12" s="53"/>
      <c r="K12" s="53"/>
      <c r="L12" s="53"/>
      <c r="M12" s="53"/>
      <c r="N12" s="42" t="str">
        <f>IF(G12&lt;&gt;0,IF(H12="No","No","Yes"),"Yes")</f>
        <v>Yes</v>
      </c>
    </row>
    <row r="13" spans="1:14" ht="42" customHeight="1" x14ac:dyDescent="0.25">
      <c r="A13" s="53"/>
      <c r="B13" s="1430" t="s">
        <v>1938</v>
      </c>
      <c r="C13" s="1431" t="s">
        <v>231</v>
      </c>
      <c r="D13" s="1431" t="s">
        <v>231</v>
      </c>
      <c r="E13" s="1431" t="s">
        <v>231</v>
      </c>
      <c r="F13" s="59">
        <v>2</v>
      </c>
      <c r="G13" s="484">
        <f>C74</f>
        <v>0</v>
      </c>
      <c r="H13" s="484" t="str">
        <f>C75</f>
        <v>No</v>
      </c>
      <c r="I13" s="53"/>
      <c r="J13" s="53"/>
      <c r="K13" s="53"/>
      <c r="L13" s="53"/>
      <c r="M13" s="53"/>
      <c r="N13" s="42" t="str">
        <f t="shared" ref="N13:N14" si="0">IF(G13&lt;&gt;0,IF(H13="No","No","Yes"),"Yes")</f>
        <v>Yes</v>
      </c>
    </row>
    <row r="14" spans="1:14" ht="54" customHeight="1" x14ac:dyDescent="0.25">
      <c r="A14" s="53"/>
      <c r="B14" s="1430" t="s">
        <v>2179</v>
      </c>
      <c r="C14" s="1431" t="s">
        <v>232</v>
      </c>
      <c r="D14" s="1431" t="s">
        <v>232</v>
      </c>
      <c r="E14" s="1431" t="s">
        <v>232</v>
      </c>
      <c r="F14" s="59">
        <v>2</v>
      </c>
      <c r="G14" s="484">
        <f>C133</f>
        <v>0</v>
      </c>
      <c r="H14" s="59" t="str">
        <f>C134</f>
        <v>No</v>
      </c>
      <c r="I14" s="53"/>
      <c r="J14" s="53"/>
      <c r="K14" s="53"/>
      <c r="L14" s="53"/>
      <c r="M14" s="53"/>
      <c r="N14" s="42" t="str">
        <f t="shared" si="0"/>
        <v>Yes</v>
      </c>
    </row>
    <row r="15" spans="1:14" ht="19.5" customHeight="1" x14ac:dyDescent="0.25">
      <c r="A15" s="53"/>
      <c r="B15" s="1433" t="s">
        <v>82</v>
      </c>
      <c r="C15" s="1434" t="s">
        <v>244</v>
      </c>
      <c r="D15" s="1434" t="s">
        <v>244</v>
      </c>
      <c r="E15" s="1435" t="s">
        <v>244</v>
      </c>
      <c r="F15" s="702">
        <v>5</v>
      </c>
      <c r="G15" s="702">
        <f>MIN(5,SUM(G12:G14))</f>
        <v>0</v>
      </c>
      <c r="H15" s="702" t="str">
        <f>IF(COUNTIF(H12:H14,"No")=3,"No",IF(COUNTIF(N12:N14,"Yes")=3,"Yes","No"))</f>
        <v>No</v>
      </c>
      <c r="I15" s="53"/>
      <c r="J15" s="53"/>
      <c r="K15" s="53"/>
      <c r="L15" s="53"/>
      <c r="M15" s="53"/>
    </row>
    <row r="16" spans="1:14" ht="16.5" customHeight="1" x14ac:dyDescent="0.25">
      <c r="A16" s="53"/>
      <c r="B16" s="53"/>
      <c r="C16" s="53"/>
      <c r="D16" s="53"/>
      <c r="E16" s="53"/>
      <c r="F16" s="53"/>
      <c r="G16" s="53"/>
      <c r="H16" s="53"/>
      <c r="I16" s="53"/>
      <c r="J16" s="53"/>
      <c r="K16" s="53"/>
      <c r="L16" s="53"/>
      <c r="M16" s="53"/>
    </row>
    <row r="17" spans="1:14" ht="18.75" customHeight="1" x14ac:dyDescent="0.25">
      <c r="A17" s="1432" t="s">
        <v>234</v>
      </c>
      <c r="B17" s="1432"/>
      <c r="C17" s="1432"/>
      <c r="D17" s="1432"/>
      <c r="E17" s="1432"/>
      <c r="F17" s="1432"/>
      <c r="G17" s="1432"/>
      <c r="H17" s="1432"/>
      <c r="I17" s="1432"/>
      <c r="J17" s="1432"/>
      <c r="K17" s="1432"/>
      <c r="L17" s="1432"/>
      <c r="M17" s="1432"/>
    </row>
    <row r="18" spans="1:14" ht="16.5" customHeight="1" x14ac:dyDescent="0.25">
      <c r="A18" s="53"/>
      <c r="B18" s="54"/>
      <c r="C18" s="54"/>
      <c r="D18" s="54"/>
      <c r="E18" s="54"/>
      <c r="F18" s="53"/>
      <c r="G18" s="53"/>
      <c r="H18" s="1445" t="s">
        <v>1838</v>
      </c>
      <c r="I18" s="1445"/>
      <c r="J18" s="1445"/>
      <c r="K18" s="1445"/>
      <c r="L18" s="1445"/>
      <c r="M18" s="1445"/>
      <c r="N18" s="1112"/>
    </row>
    <row r="19" spans="1:14" ht="16.5" customHeight="1" x14ac:dyDescent="0.25">
      <c r="A19" s="1410" t="s">
        <v>265</v>
      </c>
      <c r="B19" s="1410"/>
      <c r="C19" s="1410"/>
      <c r="D19" s="54"/>
      <c r="E19" s="54"/>
      <c r="F19" s="53"/>
      <c r="G19" s="53"/>
      <c r="H19" s="1445"/>
      <c r="I19" s="1445"/>
      <c r="J19" s="1445"/>
      <c r="K19" s="1445"/>
      <c r="L19" s="1445"/>
      <c r="M19" s="1445"/>
      <c r="N19" s="1112"/>
    </row>
    <row r="20" spans="1:14" ht="15" customHeight="1" x14ac:dyDescent="0.25">
      <c r="A20" s="53"/>
      <c r="B20" s="54"/>
      <c r="C20" s="54"/>
      <c r="D20" s="54"/>
      <c r="E20" s="54"/>
      <c r="F20" s="53"/>
      <c r="G20" s="53"/>
      <c r="H20" s="53"/>
      <c r="I20" s="53"/>
      <c r="J20" s="53"/>
      <c r="K20" s="53"/>
      <c r="L20" s="53"/>
      <c r="M20" s="53"/>
    </row>
    <row r="21" spans="1:14" ht="15" customHeight="1" x14ac:dyDescent="0.25">
      <c r="A21" s="53"/>
      <c r="B21" s="1415" t="s">
        <v>1488</v>
      </c>
      <c r="C21" s="1415"/>
      <c r="D21" s="1415"/>
      <c r="E21" s="1415"/>
      <c r="F21" s="1415"/>
      <c r="G21" s="1415"/>
      <c r="H21" s="1415"/>
      <c r="I21" s="53"/>
      <c r="J21" s="53"/>
      <c r="K21" s="53"/>
      <c r="L21" s="53"/>
      <c r="M21" s="53"/>
    </row>
    <row r="22" spans="1:14" ht="16.5" customHeight="1" x14ac:dyDescent="0.25">
      <c r="A22" s="53"/>
      <c r="B22" s="673"/>
      <c r="C22" s="673"/>
      <c r="D22" s="673"/>
      <c r="E22" s="673"/>
      <c r="F22" s="673"/>
      <c r="G22" s="673"/>
      <c r="H22" s="673"/>
      <c r="I22" s="53"/>
      <c r="J22" s="53"/>
      <c r="K22" s="53"/>
      <c r="L22" s="53"/>
      <c r="M22" s="53"/>
    </row>
    <row r="23" spans="1:14" ht="15" customHeight="1" x14ac:dyDescent="0.25">
      <c r="A23" s="53"/>
      <c r="B23" s="1416" t="s">
        <v>1489</v>
      </c>
      <c r="C23" s="1416"/>
      <c r="D23" s="1416"/>
      <c r="E23" s="1416"/>
      <c r="F23" s="1416"/>
      <c r="G23" s="1416"/>
      <c r="H23" s="1416"/>
      <c r="I23" s="53"/>
      <c r="J23" s="53"/>
      <c r="K23" s="53"/>
      <c r="L23" s="53"/>
      <c r="M23" s="53"/>
    </row>
    <row r="24" spans="1:14" ht="15" customHeight="1" x14ac:dyDescent="0.25">
      <c r="A24" s="53"/>
      <c r="B24" s="1416" t="s">
        <v>1490</v>
      </c>
      <c r="C24" s="1416"/>
      <c r="D24" s="1416"/>
      <c r="E24" s="1416"/>
      <c r="F24" s="1416"/>
      <c r="G24" s="1416"/>
      <c r="H24" s="1416"/>
      <c r="I24" s="53"/>
      <c r="J24" s="53"/>
      <c r="K24" s="53"/>
      <c r="L24" s="53"/>
      <c r="M24" s="53"/>
    </row>
    <row r="25" spans="1:14" ht="16.5" customHeight="1" x14ac:dyDescent="0.25">
      <c r="A25" s="53"/>
      <c r="B25" s="57"/>
      <c r="C25" s="54"/>
      <c r="D25" s="54"/>
      <c r="E25" s="54"/>
      <c r="F25" s="53"/>
      <c r="G25" s="53"/>
      <c r="H25" s="53"/>
      <c r="I25" s="53"/>
      <c r="J25" s="53"/>
      <c r="K25" s="53"/>
      <c r="L25" s="53"/>
      <c r="M25" s="53"/>
    </row>
    <row r="26" spans="1:14" ht="16.5" customHeight="1" x14ac:dyDescent="0.25">
      <c r="A26" s="1410" t="s">
        <v>26</v>
      </c>
      <c r="B26" s="1410"/>
      <c r="C26" s="1410"/>
      <c r="D26" s="54"/>
      <c r="E26" s="54"/>
      <c r="F26" s="53"/>
      <c r="G26" s="53"/>
      <c r="H26" s="53"/>
      <c r="I26" s="53"/>
      <c r="J26" s="53"/>
      <c r="K26" s="53"/>
      <c r="L26" s="53"/>
      <c r="M26" s="53"/>
    </row>
    <row r="27" spans="1:14" ht="16.5" customHeight="1" x14ac:dyDescent="0.25">
      <c r="A27" s="53"/>
      <c r="B27" s="54"/>
      <c r="C27" s="54"/>
      <c r="D27" s="54"/>
      <c r="E27" s="54"/>
      <c r="F27" s="53"/>
      <c r="G27" s="53"/>
      <c r="H27" s="53"/>
      <c r="I27" s="53"/>
      <c r="J27" s="53"/>
      <c r="K27" s="53"/>
      <c r="L27" s="53"/>
      <c r="M27" s="53"/>
    </row>
    <row r="28" spans="1:14" ht="15" customHeight="1" x14ac:dyDescent="0.25">
      <c r="A28" s="53"/>
      <c r="B28" s="1411" t="s">
        <v>1491</v>
      </c>
      <c r="C28" s="1411"/>
      <c r="D28" s="1411"/>
      <c r="E28" s="1411"/>
      <c r="F28" s="1411"/>
      <c r="G28" s="53"/>
      <c r="H28" s="53"/>
      <c r="I28" s="53"/>
      <c r="J28" s="53"/>
      <c r="K28" s="53"/>
      <c r="L28" s="53"/>
      <c r="M28" s="53"/>
    </row>
    <row r="29" spans="1:14" ht="9.75" customHeight="1" x14ac:dyDescent="0.25">
      <c r="A29" s="53"/>
      <c r="B29" s="54"/>
      <c r="C29" s="54"/>
      <c r="D29" s="54"/>
      <c r="E29" s="54"/>
      <c r="F29" s="53"/>
      <c r="G29" s="53"/>
      <c r="H29" s="53"/>
      <c r="I29" s="53"/>
      <c r="J29" s="53"/>
      <c r="K29" s="53"/>
      <c r="L29" s="53"/>
      <c r="M29" s="53"/>
    </row>
    <row r="30" spans="1:14" ht="17.25" customHeight="1" x14ac:dyDescent="0.25">
      <c r="A30" s="53"/>
      <c r="B30" s="1414" t="s">
        <v>1492</v>
      </c>
      <c r="C30" s="1414"/>
      <c r="D30" s="510"/>
      <c r="E30" s="54"/>
      <c r="F30" s="53"/>
      <c r="G30" s="53"/>
      <c r="H30" s="53"/>
      <c r="I30" s="53"/>
      <c r="J30" s="53"/>
      <c r="K30" s="53"/>
      <c r="L30" s="53"/>
      <c r="M30" s="53"/>
    </row>
    <row r="31" spans="1:14" ht="17.25" customHeight="1" x14ac:dyDescent="0.25">
      <c r="A31" s="53"/>
      <c r="B31" s="1414" t="s">
        <v>1493</v>
      </c>
      <c r="C31" s="1414"/>
      <c r="D31" s="510"/>
      <c r="E31" s="54"/>
      <c r="F31" s="53"/>
      <c r="G31" s="53"/>
      <c r="H31" s="53"/>
      <c r="I31" s="53"/>
      <c r="J31" s="53"/>
      <c r="K31" s="53"/>
      <c r="L31" s="53"/>
      <c r="M31" s="53"/>
    </row>
    <row r="32" spans="1:14" ht="17.25" customHeight="1" x14ac:dyDescent="0.25">
      <c r="A32" s="53"/>
      <c r="B32" s="1414" t="s">
        <v>1494</v>
      </c>
      <c r="C32" s="1414"/>
      <c r="D32" s="510"/>
      <c r="E32" s="54"/>
      <c r="F32" s="53"/>
      <c r="G32" s="53"/>
      <c r="H32" s="53"/>
      <c r="I32" s="53"/>
      <c r="J32" s="53"/>
      <c r="K32" s="53"/>
      <c r="L32" s="53"/>
      <c r="M32" s="53"/>
    </row>
    <row r="33" spans="1:13" ht="17.25" customHeight="1" x14ac:dyDescent="0.25">
      <c r="A33" s="53"/>
      <c r="B33" s="1414" t="s">
        <v>1495</v>
      </c>
      <c r="C33" s="1414"/>
      <c r="D33" s="510"/>
      <c r="E33" s="54"/>
      <c r="F33" s="53"/>
      <c r="G33" s="53"/>
      <c r="H33" s="53"/>
      <c r="I33" s="53"/>
      <c r="J33" s="53"/>
      <c r="K33" s="53"/>
      <c r="L33" s="53"/>
      <c r="M33" s="53"/>
    </row>
    <row r="34" spans="1:13" ht="21" customHeight="1" x14ac:dyDescent="0.25">
      <c r="A34" s="53"/>
      <c r="B34" s="1448" t="s">
        <v>1496</v>
      </c>
      <c r="C34" s="1448"/>
      <c r="D34" s="58">
        <f>SUM(D30:D33)</f>
        <v>0</v>
      </c>
      <c r="E34" s="54"/>
      <c r="F34" s="53"/>
      <c r="G34" s="53"/>
      <c r="H34" s="53"/>
      <c r="I34" s="53"/>
      <c r="J34" s="53"/>
      <c r="K34" s="53"/>
      <c r="L34" s="53"/>
      <c r="M34" s="53"/>
    </row>
    <row r="35" spans="1:13" ht="18" customHeight="1" x14ac:dyDescent="0.25">
      <c r="A35" s="54"/>
      <c r="B35" s="54"/>
      <c r="C35" s="54"/>
      <c r="D35" s="54"/>
      <c r="E35" s="54"/>
      <c r="F35" s="53"/>
      <c r="G35" s="53"/>
      <c r="H35" s="53"/>
      <c r="I35" s="53"/>
      <c r="J35" s="53"/>
      <c r="K35" s="53"/>
      <c r="L35" s="53"/>
      <c r="M35" s="53"/>
    </row>
    <row r="36" spans="1:13" ht="21" customHeight="1" x14ac:dyDescent="0.25">
      <c r="A36" s="53"/>
      <c r="B36" s="1412" t="s">
        <v>233</v>
      </c>
      <c r="C36" s="1412"/>
      <c r="D36" s="250">
        <f>IFERROR((D30+D31)/D34,0)</f>
        <v>0</v>
      </c>
      <c r="E36" s="54"/>
      <c r="F36" s="53"/>
      <c r="G36" s="53"/>
      <c r="H36" s="53"/>
      <c r="I36" s="53"/>
      <c r="J36" s="53"/>
      <c r="K36" s="53"/>
      <c r="L36" s="53"/>
      <c r="M36" s="53"/>
    </row>
    <row r="37" spans="1:13" ht="18.75" customHeight="1" x14ac:dyDescent="0.25">
      <c r="A37" s="53"/>
      <c r="B37" s="53"/>
      <c r="C37" s="53"/>
      <c r="D37" s="53"/>
      <c r="E37" s="53"/>
      <c r="F37" s="53"/>
      <c r="G37" s="53"/>
      <c r="H37" s="53"/>
      <c r="I37" s="53"/>
      <c r="J37" s="53"/>
      <c r="K37" s="53"/>
      <c r="L37" s="53"/>
      <c r="M37" s="53"/>
    </row>
    <row r="38" spans="1:13" ht="16.5" customHeight="1" x14ac:dyDescent="0.25">
      <c r="A38" s="1410" t="s">
        <v>200</v>
      </c>
      <c r="B38" s="1410"/>
      <c r="C38" s="1410"/>
      <c r="D38" s="53"/>
      <c r="E38" s="53"/>
      <c r="F38" s="53"/>
      <c r="G38" s="53"/>
      <c r="H38" s="53"/>
      <c r="I38" s="53"/>
      <c r="J38" s="53"/>
      <c r="K38" s="53"/>
      <c r="L38" s="53"/>
      <c r="M38" s="53"/>
    </row>
    <row r="39" spans="1:13" ht="16.5" customHeight="1" x14ac:dyDescent="0.25">
      <c r="A39" s="53"/>
      <c r="B39" s="53"/>
      <c r="C39" s="53"/>
      <c r="D39" s="53"/>
      <c r="E39" s="53"/>
      <c r="F39" s="53"/>
      <c r="G39" s="53"/>
      <c r="H39" s="53"/>
      <c r="I39" s="53"/>
      <c r="J39" s="53"/>
      <c r="K39" s="53"/>
      <c r="L39" s="53"/>
      <c r="M39" s="53"/>
    </row>
    <row r="40" spans="1:13" ht="18" customHeight="1" x14ac:dyDescent="0.25">
      <c r="A40" s="53"/>
      <c r="B40" s="1446" t="s">
        <v>2103</v>
      </c>
      <c r="C40" s="1447"/>
      <c r="D40" s="1447"/>
      <c r="E40" s="1447"/>
      <c r="F40" s="1447"/>
      <c r="G40" s="1045" t="s">
        <v>2101</v>
      </c>
      <c r="H40" s="1443" t="s">
        <v>2102</v>
      </c>
      <c r="I40" s="1444"/>
      <c r="J40" s="53"/>
      <c r="K40" s="53"/>
      <c r="L40" s="53"/>
      <c r="M40" s="53"/>
    </row>
    <row r="41" spans="1:13" ht="21" customHeight="1" x14ac:dyDescent="0.25">
      <c r="A41" s="53"/>
      <c r="B41" s="1436" t="s">
        <v>1317</v>
      </c>
      <c r="C41" s="1437"/>
      <c r="D41" s="1437"/>
      <c r="E41" s="1437"/>
      <c r="F41" s="1438"/>
      <c r="G41" s="518" t="s">
        <v>129</v>
      </c>
      <c r="H41" s="1441"/>
      <c r="I41" s="1442"/>
      <c r="J41" s="53"/>
      <c r="K41" s="53"/>
      <c r="L41" s="53"/>
      <c r="M41" s="53"/>
    </row>
    <row r="42" spans="1:13" ht="21" customHeight="1" x14ac:dyDescent="0.25">
      <c r="A42" s="53"/>
      <c r="B42" s="1436" t="s">
        <v>1316</v>
      </c>
      <c r="C42" s="1437"/>
      <c r="D42" s="1437"/>
      <c r="E42" s="1437"/>
      <c r="F42" s="1438"/>
      <c r="G42" s="518" t="s">
        <v>129</v>
      </c>
      <c r="H42" s="1441"/>
      <c r="I42" s="1442"/>
      <c r="J42" s="53"/>
      <c r="K42" s="53"/>
      <c r="L42" s="53"/>
      <c r="M42" s="53"/>
    </row>
    <row r="43" spans="1:13" ht="15" customHeight="1" x14ac:dyDescent="0.25">
      <c r="A43" s="53"/>
      <c r="B43" s="53"/>
      <c r="C43" s="53"/>
      <c r="D43" s="53"/>
      <c r="E43" s="53"/>
      <c r="F43" s="53"/>
      <c r="G43" s="53"/>
      <c r="H43" s="53"/>
      <c r="I43" s="53"/>
      <c r="J43" s="53"/>
      <c r="K43" s="53"/>
      <c r="L43" s="53"/>
      <c r="M43" s="53"/>
    </row>
    <row r="44" spans="1:13" ht="16.5" customHeight="1" x14ac:dyDescent="0.25">
      <c r="A44" s="1410" t="s">
        <v>25</v>
      </c>
      <c r="B44" s="1410"/>
      <c r="C44" s="1410"/>
      <c r="D44" s="53"/>
      <c r="E44" s="53"/>
      <c r="F44" s="53"/>
      <c r="G44" s="53"/>
      <c r="H44" s="53"/>
      <c r="I44" s="53"/>
      <c r="J44" s="53"/>
      <c r="K44" s="53"/>
      <c r="L44" s="53"/>
      <c r="M44" s="53"/>
    </row>
    <row r="45" spans="1:13" ht="15" customHeight="1" x14ac:dyDescent="0.25">
      <c r="A45" s="53"/>
      <c r="B45" s="53"/>
      <c r="C45" s="53"/>
      <c r="D45" s="53"/>
      <c r="E45" s="53"/>
      <c r="F45" s="53"/>
      <c r="G45" s="53"/>
      <c r="H45" s="53"/>
      <c r="I45" s="53"/>
      <c r="J45" s="53"/>
      <c r="K45" s="53"/>
      <c r="L45" s="53"/>
      <c r="M45" s="53"/>
    </row>
    <row r="46" spans="1:13" ht="18" customHeight="1" x14ac:dyDescent="0.25">
      <c r="A46" s="53"/>
      <c r="B46" s="192" t="s">
        <v>56</v>
      </c>
      <c r="C46" s="1190">
        <f>IF(D36=0,IF(AND(D30&lt;&gt;"",D31&lt;&gt;""),2,0),IF(D36&lt;=0.2,2,IF(D36&lt;=0.4,1,0)))</f>
        <v>0</v>
      </c>
      <c r="D46" s="53"/>
      <c r="E46" s="53"/>
      <c r="F46" s="53"/>
      <c r="G46" s="53"/>
      <c r="H46" s="53"/>
      <c r="I46" s="53"/>
      <c r="J46" s="53"/>
      <c r="K46" s="53"/>
      <c r="L46" s="53"/>
      <c r="M46" s="53"/>
    </row>
    <row r="47" spans="1:13" ht="18" customHeight="1" x14ac:dyDescent="0.25">
      <c r="A47" s="53"/>
      <c r="B47" s="192" t="s">
        <v>521</v>
      </c>
      <c r="C47" s="1190" t="str">
        <f>IF(AND(G41="Submitted",G42="Submitted",C46&gt;0),"Yes","No")</f>
        <v>No</v>
      </c>
      <c r="D47" s="53"/>
      <c r="E47" s="53"/>
      <c r="F47" s="53"/>
      <c r="G47" s="53"/>
      <c r="H47" s="53"/>
      <c r="I47" s="53"/>
      <c r="J47" s="53"/>
      <c r="K47" s="53"/>
      <c r="L47" s="53"/>
      <c r="M47" s="53"/>
    </row>
    <row r="48" spans="1:13" ht="20.25" customHeight="1" x14ac:dyDescent="0.25">
      <c r="A48" s="53"/>
      <c r="B48" s="54"/>
      <c r="C48" s="54"/>
      <c r="D48" s="54"/>
      <c r="E48" s="54"/>
      <c r="F48" s="53"/>
      <c r="G48" s="53"/>
      <c r="H48" s="53"/>
      <c r="I48" s="53"/>
      <c r="J48" s="53"/>
      <c r="K48" s="53"/>
      <c r="L48" s="53"/>
      <c r="M48" s="53"/>
    </row>
    <row r="49" spans="1:14" ht="20.25" customHeight="1" x14ac:dyDescent="0.25">
      <c r="A49" s="1432" t="s">
        <v>235</v>
      </c>
      <c r="B49" s="1432"/>
      <c r="C49" s="1432"/>
      <c r="D49" s="1432"/>
      <c r="E49" s="1432"/>
      <c r="F49" s="1432"/>
      <c r="G49" s="1432"/>
      <c r="H49" s="1432"/>
      <c r="I49" s="1432"/>
      <c r="J49" s="1432"/>
      <c r="K49" s="1432"/>
      <c r="L49" s="1432"/>
      <c r="M49" s="1432"/>
    </row>
    <row r="50" spans="1:14" x14ac:dyDescent="0.25">
      <c r="A50" s="54"/>
      <c r="B50" s="54"/>
      <c r="C50" s="54"/>
      <c r="D50" s="54"/>
      <c r="E50" s="54"/>
      <c r="F50" s="53"/>
      <c r="G50" s="53"/>
      <c r="H50" s="53"/>
      <c r="I50" s="53"/>
      <c r="J50" s="53"/>
      <c r="K50" s="53"/>
      <c r="L50" s="53"/>
      <c r="M50" s="53"/>
    </row>
    <row r="51" spans="1:14" ht="16.5" customHeight="1" x14ac:dyDescent="0.25">
      <c r="A51" s="1410" t="s">
        <v>265</v>
      </c>
      <c r="B51" s="1410"/>
      <c r="C51" s="1410"/>
      <c r="D51" s="54"/>
      <c r="E51" s="54"/>
      <c r="F51" s="53"/>
      <c r="G51" s="53"/>
      <c r="H51" s="53"/>
      <c r="I51" s="53"/>
      <c r="J51" s="53"/>
      <c r="K51" s="53"/>
      <c r="L51" s="53"/>
      <c r="M51" s="53"/>
    </row>
    <row r="52" spans="1:14" ht="16.5" customHeight="1" x14ac:dyDescent="0.25">
      <c r="A52" s="53"/>
      <c r="B52" s="53"/>
      <c r="C52" s="53"/>
      <c r="D52" s="53"/>
      <c r="E52" s="53"/>
      <c r="F52" s="53"/>
      <c r="G52" s="53"/>
      <c r="H52" s="53"/>
      <c r="I52" s="53"/>
      <c r="J52" s="53"/>
      <c r="K52" s="53"/>
      <c r="L52" s="53"/>
      <c r="M52" s="53"/>
    </row>
    <row r="53" spans="1:14" x14ac:dyDescent="0.25">
      <c r="A53" s="53"/>
      <c r="B53" s="649" t="s">
        <v>917</v>
      </c>
      <c r="C53" s="54"/>
      <c r="D53" s="54"/>
      <c r="E53" s="54"/>
      <c r="F53" s="53"/>
      <c r="G53" s="53"/>
      <c r="H53" s="53"/>
      <c r="I53" s="53"/>
      <c r="J53" s="53"/>
      <c r="K53" s="53"/>
      <c r="L53" s="53"/>
      <c r="M53" s="53"/>
    </row>
    <row r="54" spans="1:14" ht="16.5" customHeight="1" x14ac:dyDescent="0.25">
      <c r="A54" s="53"/>
      <c r="B54" s="53"/>
      <c r="C54" s="53"/>
      <c r="D54" s="53"/>
      <c r="E54" s="53"/>
      <c r="F54" s="53"/>
      <c r="G54" s="53"/>
      <c r="H54" s="53"/>
      <c r="I54" s="53"/>
      <c r="J54" s="53"/>
      <c r="K54" s="53"/>
      <c r="L54" s="53"/>
      <c r="M54" s="53"/>
    </row>
    <row r="55" spans="1:14" ht="16.5" customHeight="1" x14ac:dyDescent="0.25">
      <c r="A55" s="1410" t="s">
        <v>26</v>
      </c>
      <c r="B55" s="1410"/>
      <c r="C55" s="1410"/>
      <c r="D55" s="54"/>
      <c r="E55" s="54"/>
      <c r="F55" s="53"/>
      <c r="G55" s="53"/>
      <c r="H55" s="53"/>
      <c r="I55" s="53"/>
      <c r="J55" s="53"/>
      <c r="K55" s="53"/>
      <c r="L55" s="53"/>
      <c r="M55" s="53"/>
    </row>
    <row r="56" spans="1:14" x14ac:dyDescent="0.25">
      <c r="A56" s="54"/>
      <c r="B56" s="54"/>
      <c r="C56" s="54"/>
      <c r="D56" s="54"/>
      <c r="E56" s="54"/>
      <c r="F56" s="53"/>
      <c r="G56" s="53"/>
      <c r="H56" s="53"/>
      <c r="I56" s="53"/>
      <c r="J56" s="53"/>
      <c r="K56" s="53"/>
      <c r="L56" s="53"/>
      <c r="M56" s="53"/>
    </row>
    <row r="57" spans="1:14" x14ac:dyDescent="0.25">
      <c r="A57" s="54"/>
      <c r="B57" s="1411" t="s">
        <v>1498</v>
      </c>
      <c r="C57" s="1411"/>
      <c r="D57" s="1411"/>
      <c r="E57" s="1411"/>
      <c r="F57" s="1411"/>
      <c r="G57" s="53"/>
      <c r="H57" s="53"/>
      <c r="I57" s="53"/>
      <c r="J57" s="53"/>
      <c r="K57" s="53"/>
      <c r="L57" s="53"/>
      <c r="M57" s="53"/>
    </row>
    <row r="58" spans="1:14" ht="18" customHeight="1" x14ac:dyDescent="0.25">
      <c r="A58" s="54"/>
      <c r="B58" s="54"/>
      <c r="C58" s="54"/>
      <c r="D58" s="54"/>
      <c r="E58" s="54"/>
      <c r="F58" s="53"/>
      <c r="G58" s="53"/>
      <c r="H58" s="53"/>
      <c r="I58" s="53"/>
      <c r="J58" s="53"/>
      <c r="K58" s="53"/>
      <c r="L58" s="53"/>
      <c r="M58" s="53"/>
    </row>
    <row r="59" spans="1:14" ht="18" customHeight="1" x14ac:dyDescent="0.25">
      <c r="A59" s="54"/>
      <c r="B59" s="800" t="s">
        <v>1497</v>
      </c>
      <c r="C59" s="54"/>
      <c r="D59" s="54"/>
      <c r="E59" s="54"/>
      <c r="F59" s="53"/>
      <c r="G59" s="53"/>
      <c r="H59" s="53"/>
      <c r="I59" s="53"/>
      <c r="J59" s="53"/>
      <c r="K59" s="53"/>
      <c r="L59" s="53"/>
      <c r="M59" s="53"/>
    </row>
    <row r="60" spans="1:14" ht="18" customHeight="1" x14ac:dyDescent="0.25">
      <c r="A60" s="53"/>
      <c r="B60" s="53"/>
      <c r="C60" s="1439" t="s">
        <v>1835</v>
      </c>
      <c r="D60" s="1440"/>
      <c r="E60" s="508" t="s">
        <v>1836</v>
      </c>
      <c r="F60" s="508" t="s">
        <v>1837</v>
      </c>
      <c r="G60" s="509" t="s">
        <v>906</v>
      </c>
      <c r="H60" s="53"/>
      <c r="I60" s="53"/>
      <c r="J60" s="53"/>
      <c r="K60" s="53"/>
      <c r="L60" s="53"/>
      <c r="M60" s="53"/>
      <c r="N60" s="53"/>
    </row>
    <row r="61" spans="1:14" ht="27" customHeight="1" x14ac:dyDescent="0.25">
      <c r="A61" s="53"/>
      <c r="B61" s="511" t="s">
        <v>907</v>
      </c>
      <c r="C61" s="1449"/>
      <c r="D61" s="1449"/>
      <c r="E61" s="487"/>
      <c r="F61" s="487"/>
      <c r="G61" s="506">
        <f>IFERROR(E61/F61,0)</f>
        <v>0</v>
      </c>
      <c r="H61" s="53"/>
      <c r="I61" s="53"/>
      <c r="J61" s="53"/>
      <c r="K61" s="53"/>
      <c r="L61" s="53"/>
      <c r="M61" s="53"/>
      <c r="N61" s="53"/>
    </row>
    <row r="62" spans="1:14" ht="27" customHeight="1" x14ac:dyDescent="0.25">
      <c r="A62" s="53"/>
      <c r="B62" s="511" t="s">
        <v>908</v>
      </c>
      <c r="C62" s="1450"/>
      <c r="D62" s="1450"/>
      <c r="E62" s="489"/>
      <c r="F62" s="489"/>
      <c r="G62" s="505">
        <f>IFERROR(E62/F62,0)</f>
        <v>0</v>
      </c>
      <c r="H62" s="53"/>
      <c r="I62" s="53"/>
      <c r="J62" s="53"/>
      <c r="K62" s="53"/>
      <c r="L62" s="53"/>
      <c r="M62" s="53"/>
      <c r="N62" s="53"/>
    </row>
    <row r="63" spans="1:14" x14ac:dyDescent="0.25">
      <c r="A63" s="53"/>
      <c r="B63" s="53"/>
      <c r="C63" s="53"/>
      <c r="D63" s="53"/>
      <c r="E63" s="53"/>
      <c r="F63" s="53"/>
      <c r="G63" s="53"/>
      <c r="H63" s="53"/>
      <c r="I63" s="53"/>
      <c r="J63" s="53"/>
      <c r="K63" s="53"/>
      <c r="L63" s="53"/>
      <c r="M63" s="53"/>
    </row>
    <row r="64" spans="1:14" ht="20.25" customHeight="1" x14ac:dyDescent="0.25">
      <c r="A64" s="53"/>
      <c r="B64" s="1412" t="s">
        <v>52</v>
      </c>
      <c r="C64" s="1412"/>
      <c r="D64" s="250" t="str">
        <f>IFERROR(IF(AND(F61&lt;&gt;"",F62&lt;&gt;"",F61=0,F62=0),0,(E61+E62)/(F61+F62)),"")</f>
        <v/>
      </c>
      <c r="E64" s="54"/>
      <c r="F64" s="53"/>
      <c r="G64" s="53"/>
      <c r="H64" s="53"/>
      <c r="I64" s="53"/>
      <c r="J64" s="53"/>
      <c r="K64" s="53"/>
      <c r="L64" s="53"/>
      <c r="M64" s="53"/>
    </row>
    <row r="65" spans="1:13" ht="18" customHeight="1" x14ac:dyDescent="0.25">
      <c r="A65" s="53"/>
      <c r="B65" s="53"/>
      <c r="C65" s="53"/>
      <c r="D65" s="53"/>
      <c r="E65" s="54"/>
      <c r="F65" s="53"/>
      <c r="G65" s="53"/>
      <c r="H65" s="53"/>
      <c r="I65" s="53"/>
      <c r="J65" s="53"/>
      <c r="K65" s="53"/>
      <c r="L65" s="53"/>
      <c r="M65" s="53"/>
    </row>
    <row r="66" spans="1:13" ht="16.5" customHeight="1" x14ac:dyDescent="0.25">
      <c r="A66" s="1410" t="s">
        <v>200</v>
      </c>
      <c r="B66" s="1410"/>
      <c r="C66" s="1410"/>
      <c r="D66" s="53"/>
      <c r="E66" s="53"/>
      <c r="F66" s="53"/>
      <c r="G66" s="53"/>
      <c r="H66" s="53"/>
      <c r="I66" s="53"/>
      <c r="J66" s="53"/>
      <c r="K66" s="53"/>
      <c r="L66" s="53"/>
      <c r="M66" s="53"/>
    </row>
    <row r="67" spans="1:13" ht="12.75" customHeight="1" x14ac:dyDescent="0.25">
      <c r="A67" s="53"/>
      <c r="B67" s="53"/>
      <c r="C67" s="53"/>
      <c r="D67" s="53"/>
      <c r="E67" s="53"/>
      <c r="F67" s="53"/>
      <c r="G67" s="53"/>
      <c r="H67" s="53"/>
      <c r="I67" s="53"/>
      <c r="J67" s="53"/>
      <c r="K67" s="53"/>
      <c r="L67" s="53"/>
      <c r="M67" s="53"/>
    </row>
    <row r="68" spans="1:13" ht="18" customHeight="1" x14ac:dyDescent="0.25">
      <c r="A68" s="53"/>
      <c r="B68" s="1446" t="s">
        <v>2103</v>
      </c>
      <c r="C68" s="1447"/>
      <c r="D68" s="1447"/>
      <c r="E68" s="1447"/>
      <c r="F68" s="1447"/>
      <c r="G68" s="1045" t="s">
        <v>2101</v>
      </c>
      <c r="H68" s="1443" t="s">
        <v>2102</v>
      </c>
      <c r="I68" s="1444"/>
      <c r="J68" s="53"/>
      <c r="K68" s="53"/>
      <c r="L68" s="53"/>
      <c r="M68" s="53"/>
    </row>
    <row r="69" spans="1:13" ht="21" customHeight="1" x14ac:dyDescent="0.25">
      <c r="A69" s="53"/>
      <c r="B69" s="1436" t="s">
        <v>1315</v>
      </c>
      <c r="C69" s="1437"/>
      <c r="D69" s="1437"/>
      <c r="E69" s="1437"/>
      <c r="F69" s="1438"/>
      <c r="G69" s="518" t="s">
        <v>129</v>
      </c>
      <c r="H69" s="1441"/>
      <c r="I69" s="1442"/>
      <c r="J69" s="53"/>
      <c r="K69" s="53"/>
      <c r="L69" s="53"/>
      <c r="M69" s="53"/>
    </row>
    <row r="70" spans="1:13" ht="21" customHeight="1" x14ac:dyDescent="0.25">
      <c r="A70" s="53"/>
      <c r="B70" s="1436" t="s">
        <v>1314</v>
      </c>
      <c r="C70" s="1437"/>
      <c r="D70" s="1437"/>
      <c r="E70" s="1437"/>
      <c r="F70" s="1438"/>
      <c r="G70" s="518" t="s">
        <v>129</v>
      </c>
      <c r="H70" s="1441"/>
      <c r="I70" s="1442"/>
      <c r="J70" s="53"/>
      <c r="K70" s="53"/>
      <c r="L70" s="53"/>
      <c r="M70" s="53"/>
    </row>
    <row r="71" spans="1:13" ht="15" customHeight="1" x14ac:dyDescent="0.25">
      <c r="A71" s="53"/>
      <c r="B71" s="53"/>
      <c r="C71" s="53"/>
      <c r="D71" s="53"/>
      <c r="E71" s="53"/>
      <c r="F71" s="53"/>
      <c r="G71" s="53"/>
      <c r="H71" s="53"/>
      <c r="I71" s="53"/>
      <c r="J71" s="53"/>
      <c r="K71" s="53"/>
      <c r="L71" s="53"/>
      <c r="M71" s="53"/>
    </row>
    <row r="72" spans="1:13" ht="16.5" customHeight="1" x14ac:dyDescent="0.25">
      <c r="A72" s="1410" t="s">
        <v>25</v>
      </c>
      <c r="B72" s="1410"/>
      <c r="C72" s="1410"/>
      <c r="D72" s="53"/>
      <c r="E72" s="53"/>
      <c r="F72" s="53"/>
      <c r="G72" s="53"/>
      <c r="H72" s="53"/>
      <c r="I72" s="53"/>
      <c r="J72" s="53"/>
      <c r="K72" s="53"/>
      <c r="L72" s="53"/>
      <c r="M72" s="53"/>
    </row>
    <row r="73" spans="1:13" ht="15" customHeight="1" x14ac:dyDescent="0.25">
      <c r="A73" s="53"/>
      <c r="B73" s="53"/>
      <c r="C73" s="53"/>
      <c r="D73" s="53"/>
      <c r="E73" s="53"/>
      <c r="F73" s="53"/>
      <c r="G73" s="53"/>
      <c r="H73" s="53"/>
      <c r="I73" s="53"/>
      <c r="J73" s="53"/>
      <c r="K73" s="53"/>
      <c r="L73" s="53"/>
      <c r="M73" s="53"/>
    </row>
    <row r="74" spans="1:13" ht="18" customHeight="1" x14ac:dyDescent="0.25">
      <c r="A74" s="53"/>
      <c r="B74" s="192" t="s">
        <v>56</v>
      </c>
      <c r="C74" s="1190">
        <f>IF(D64=0,2,IF(D64&lt;=0.15,2,IF(D64&lt;=0.3,1,0)))</f>
        <v>0</v>
      </c>
      <c r="D74" s="53"/>
      <c r="E74" s="54"/>
      <c r="F74" s="53"/>
      <c r="G74" s="53"/>
      <c r="H74" s="53"/>
      <c r="I74" s="53"/>
      <c r="J74" s="53"/>
      <c r="K74" s="53"/>
      <c r="L74" s="53"/>
      <c r="M74" s="53"/>
    </row>
    <row r="75" spans="1:13" ht="18" customHeight="1" x14ac:dyDescent="0.25">
      <c r="A75" s="53"/>
      <c r="B75" s="192" t="s">
        <v>521</v>
      </c>
      <c r="C75" s="1190" t="str">
        <f>IF(AND(G69="Submitted",G70="Submitted",C74&gt;0),"Yes","No")</f>
        <v>No</v>
      </c>
      <c r="D75" s="53"/>
      <c r="E75" s="54"/>
      <c r="F75" s="53"/>
      <c r="G75" s="53"/>
      <c r="H75" s="53"/>
      <c r="I75" s="53"/>
      <c r="J75" s="53"/>
      <c r="K75" s="53"/>
      <c r="L75" s="53"/>
      <c r="M75" s="53"/>
    </row>
    <row r="76" spans="1:13" ht="18.75" customHeight="1" x14ac:dyDescent="0.25">
      <c r="A76" s="53"/>
      <c r="B76" s="53"/>
      <c r="C76" s="53"/>
      <c r="D76" s="53"/>
      <c r="E76" s="53"/>
      <c r="F76" s="53"/>
      <c r="G76" s="53"/>
      <c r="H76" s="53"/>
      <c r="I76" s="53"/>
      <c r="J76" s="53"/>
      <c r="K76" s="53"/>
      <c r="L76" s="53"/>
      <c r="M76" s="53"/>
    </row>
    <row r="77" spans="1:13" ht="18" customHeight="1" x14ac:dyDescent="0.25">
      <c r="A77" s="1432" t="s">
        <v>236</v>
      </c>
      <c r="B77" s="1432"/>
      <c r="C77" s="1432"/>
      <c r="D77" s="1432"/>
      <c r="E77" s="1432"/>
      <c r="F77" s="1432"/>
      <c r="G77" s="1432"/>
      <c r="H77" s="1432"/>
      <c r="I77" s="1432"/>
      <c r="J77" s="1432"/>
      <c r="K77" s="1432"/>
      <c r="L77" s="1432"/>
      <c r="M77" s="1432"/>
    </row>
    <row r="78" spans="1:13" ht="16.5" customHeight="1" x14ac:dyDescent="0.25">
      <c r="A78" s="53"/>
      <c r="B78" s="53"/>
      <c r="C78" s="53"/>
      <c r="D78" s="53"/>
      <c r="E78" s="53"/>
      <c r="F78" s="53"/>
      <c r="G78" s="53"/>
      <c r="H78" s="53"/>
      <c r="I78" s="53"/>
      <c r="J78" s="53"/>
      <c r="K78" s="53"/>
      <c r="L78" s="53"/>
      <c r="M78" s="53"/>
    </row>
    <row r="79" spans="1:13" ht="16.5" customHeight="1" x14ac:dyDescent="0.25">
      <c r="A79" s="1410" t="s">
        <v>265</v>
      </c>
      <c r="B79" s="1410"/>
      <c r="C79" s="1410"/>
      <c r="D79" s="54"/>
      <c r="E79" s="54"/>
      <c r="F79" s="53"/>
      <c r="G79" s="53"/>
      <c r="H79" s="53"/>
      <c r="I79" s="53"/>
      <c r="J79" s="53"/>
      <c r="K79" s="53"/>
      <c r="L79" s="53"/>
      <c r="M79" s="53"/>
    </row>
    <row r="80" spans="1:13" x14ac:dyDescent="0.25">
      <c r="A80" s="54"/>
      <c r="B80" s="54"/>
      <c r="C80" s="54"/>
      <c r="D80" s="54"/>
      <c r="E80" s="54"/>
      <c r="F80" s="53"/>
      <c r="G80" s="53"/>
      <c r="H80" s="53"/>
      <c r="I80" s="53"/>
      <c r="J80" s="53"/>
      <c r="K80" s="53"/>
      <c r="L80" s="53"/>
      <c r="M80" s="53"/>
    </row>
    <row r="81" spans="1:13" ht="16.5" customHeight="1" x14ac:dyDescent="0.25">
      <c r="A81" s="53"/>
      <c r="B81" s="1460" t="s">
        <v>1919</v>
      </c>
      <c r="C81" s="1461"/>
      <c r="D81" s="1461"/>
      <c r="E81" s="1461"/>
      <c r="F81" s="1461"/>
      <c r="G81" s="1461"/>
      <c r="H81" s="1461"/>
      <c r="I81" s="1462"/>
      <c r="J81" s="53"/>
      <c r="K81" s="53"/>
      <c r="L81" s="53"/>
      <c r="M81" s="53"/>
    </row>
    <row r="82" spans="1:13" ht="16.5" customHeight="1" x14ac:dyDescent="0.25">
      <c r="A82" s="53"/>
      <c r="B82" s="1463" t="s">
        <v>2129</v>
      </c>
      <c r="C82" s="1464"/>
      <c r="D82" s="1464"/>
      <c r="E82" s="1464"/>
      <c r="F82" s="1464"/>
      <c r="G82" s="1464"/>
      <c r="H82" s="1464"/>
      <c r="I82" s="1465"/>
      <c r="J82" s="53"/>
      <c r="K82" s="53"/>
      <c r="L82" s="53"/>
      <c r="M82" s="53"/>
    </row>
    <row r="83" spans="1:13" ht="16.5" customHeight="1" x14ac:dyDescent="0.25">
      <c r="A83" s="53"/>
      <c r="B83" s="1466" t="s">
        <v>2133</v>
      </c>
      <c r="C83" s="1467"/>
      <c r="D83" s="1467"/>
      <c r="E83" s="1467"/>
      <c r="F83" s="1467"/>
      <c r="G83" s="1467"/>
      <c r="H83" s="1467"/>
      <c r="I83" s="1468"/>
      <c r="J83" s="53"/>
      <c r="K83" s="53"/>
      <c r="L83" s="53"/>
      <c r="M83" s="53"/>
    </row>
    <row r="84" spans="1:13" ht="16.5" customHeight="1" x14ac:dyDescent="0.25">
      <c r="A84" s="53"/>
      <c r="B84" s="1466" t="s">
        <v>2131</v>
      </c>
      <c r="C84" s="1467"/>
      <c r="D84" s="1467"/>
      <c r="E84" s="1467"/>
      <c r="F84" s="1467"/>
      <c r="G84" s="1467"/>
      <c r="H84" s="1467"/>
      <c r="I84" s="1468"/>
      <c r="J84" s="53"/>
      <c r="K84" s="53"/>
      <c r="L84" s="53"/>
      <c r="M84" s="53"/>
    </row>
    <row r="85" spans="1:13" ht="16.5" customHeight="1" x14ac:dyDescent="0.25">
      <c r="A85" s="53"/>
      <c r="B85" s="1466" t="s">
        <v>2130</v>
      </c>
      <c r="C85" s="1467"/>
      <c r="D85" s="1467"/>
      <c r="E85" s="1467"/>
      <c r="F85" s="1467"/>
      <c r="G85" s="1467"/>
      <c r="H85" s="1467"/>
      <c r="I85" s="1468"/>
      <c r="J85" s="53"/>
      <c r="K85" s="53"/>
      <c r="L85" s="53"/>
      <c r="M85" s="53"/>
    </row>
    <row r="86" spans="1:13" ht="16.5" customHeight="1" x14ac:dyDescent="0.25">
      <c r="A86" s="53"/>
      <c r="B86" s="1463" t="s">
        <v>2132</v>
      </c>
      <c r="C86" s="1464"/>
      <c r="D86" s="1464"/>
      <c r="E86" s="1464"/>
      <c r="F86" s="1464"/>
      <c r="G86" s="1464"/>
      <c r="H86" s="1464"/>
      <c r="I86" s="1465"/>
      <c r="J86" s="53"/>
      <c r="K86" s="53"/>
      <c r="L86" s="53"/>
      <c r="M86" s="53"/>
    </row>
    <row r="87" spans="1:13" ht="16.5" customHeight="1" x14ac:dyDescent="0.25">
      <c r="A87" s="53"/>
      <c r="B87" s="1466" t="s">
        <v>2131</v>
      </c>
      <c r="C87" s="1467"/>
      <c r="D87" s="1467"/>
      <c r="E87" s="1467"/>
      <c r="F87" s="1467"/>
      <c r="G87" s="1467"/>
      <c r="H87" s="1467"/>
      <c r="I87" s="1468"/>
      <c r="J87" s="53"/>
      <c r="K87" s="53"/>
      <c r="L87" s="53"/>
      <c r="M87" s="53"/>
    </row>
    <row r="88" spans="1:13" ht="16.5" customHeight="1" x14ac:dyDescent="0.25">
      <c r="A88" s="53"/>
      <c r="B88" s="1457" t="s">
        <v>2130</v>
      </c>
      <c r="C88" s="1458"/>
      <c r="D88" s="1458"/>
      <c r="E88" s="1458"/>
      <c r="F88" s="1458"/>
      <c r="G88" s="1458"/>
      <c r="H88" s="1458"/>
      <c r="I88" s="1459"/>
      <c r="J88" s="53"/>
      <c r="K88" s="53"/>
      <c r="L88" s="53"/>
      <c r="M88" s="53"/>
    </row>
    <row r="89" spans="1:13" ht="16.5" customHeight="1" x14ac:dyDescent="0.25">
      <c r="A89" s="53"/>
      <c r="B89" s="53"/>
      <c r="C89" s="53"/>
      <c r="D89" s="53"/>
      <c r="E89" s="53"/>
      <c r="F89" s="53"/>
      <c r="G89" s="90"/>
      <c r="H89" s="90"/>
      <c r="I89" s="90"/>
      <c r="J89" s="90"/>
      <c r="K89" s="90"/>
      <c r="L89" s="90"/>
      <c r="M89" s="90"/>
    </row>
    <row r="90" spans="1:13" ht="16.5" customHeight="1" x14ac:dyDescent="0.25">
      <c r="A90" s="53"/>
      <c r="B90" s="1451" t="s">
        <v>2124</v>
      </c>
      <c r="C90" s="1452"/>
      <c r="D90" s="1452"/>
      <c r="E90" s="1452"/>
      <c r="F90" s="1452"/>
      <c r="G90" s="1452"/>
      <c r="H90" s="1452"/>
      <c r="I90" s="1453"/>
      <c r="J90" s="1113"/>
      <c r="K90" s="1113"/>
      <c r="L90" s="1113"/>
      <c r="M90" s="1113"/>
    </row>
    <row r="91" spans="1:13" ht="16.5" customHeight="1" x14ac:dyDescent="0.25">
      <c r="A91" s="53"/>
      <c r="B91" s="1454" t="s">
        <v>2125</v>
      </c>
      <c r="C91" s="1455"/>
      <c r="D91" s="1455"/>
      <c r="E91" s="1455"/>
      <c r="F91" s="1455"/>
      <c r="G91" s="1455"/>
      <c r="H91" s="1455"/>
      <c r="I91" s="1456"/>
      <c r="J91" s="1113"/>
      <c r="K91" s="1113"/>
      <c r="L91" s="1113"/>
      <c r="M91" s="1113"/>
    </row>
    <row r="92" spans="1:13" ht="16.5" customHeight="1" x14ac:dyDescent="0.25">
      <c r="A92" s="53"/>
      <c r="B92" s="800"/>
      <c r="C92" s="53"/>
      <c r="D92" s="53"/>
      <c r="E92" s="53"/>
      <c r="F92" s="53"/>
      <c r="G92" s="1113"/>
      <c r="H92" s="1113"/>
      <c r="I92" s="1113"/>
      <c r="J92" s="1113"/>
      <c r="K92" s="1113"/>
      <c r="L92" s="1113"/>
      <c r="M92" s="1113"/>
    </row>
    <row r="93" spans="1:13" ht="16.5" customHeight="1" x14ac:dyDescent="0.25">
      <c r="A93" s="53"/>
      <c r="B93" s="466" t="s">
        <v>914</v>
      </c>
      <c r="C93" s="53"/>
      <c r="D93" s="53"/>
      <c r="E93" s="53"/>
      <c r="F93" s="53"/>
      <c r="G93" s="53"/>
      <c r="H93" s="53"/>
      <c r="I93" s="53"/>
      <c r="J93" s="53"/>
      <c r="K93" s="53"/>
      <c r="L93" s="53"/>
      <c r="M93" s="53"/>
    </row>
    <row r="94" spans="1:13" ht="12" customHeight="1" x14ac:dyDescent="0.25">
      <c r="A94" s="53"/>
      <c r="B94" s="466"/>
      <c r="C94" s="53"/>
      <c r="D94" s="53"/>
      <c r="E94" s="53"/>
      <c r="F94" s="53"/>
      <c r="G94" s="53"/>
      <c r="H94" s="53"/>
      <c r="I94" s="53"/>
      <c r="J94" s="53"/>
      <c r="K94" s="53"/>
      <c r="L94" s="53"/>
      <c r="M94" s="53"/>
    </row>
    <row r="95" spans="1:13" ht="16.5" customHeight="1" x14ac:dyDescent="0.25">
      <c r="A95" s="53"/>
      <c r="B95" s="1411" t="s">
        <v>2134</v>
      </c>
      <c r="C95" s="1411"/>
      <c r="D95" s="1411"/>
      <c r="E95" s="1411"/>
      <c r="F95" s="1411"/>
      <c r="G95" s="53"/>
      <c r="H95" s="53"/>
      <c r="I95" s="53"/>
      <c r="J95" s="53"/>
      <c r="K95" s="53"/>
      <c r="L95" s="53"/>
      <c r="M95" s="53"/>
    </row>
    <row r="96" spans="1:13" ht="9" customHeight="1" x14ac:dyDescent="0.25">
      <c r="A96" s="53"/>
      <c r="B96" s="466"/>
      <c r="C96" s="53"/>
      <c r="D96" s="53"/>
      <c r="E96" s="53"/>
      <c r="F96" s="53"/>
      <c r="G96" s="53"/>
      <c r="H96" s="53"/>
      <c r="I96" s="53"/>
      <c r="J96" s="53"/>
      <c r="K96" s="53"/>
      <c r="L96" s="53"/>
      <c r="M96" s="53"/>
    </row>
    <row r="97" spans="1:13" ht="18" customHeight="1" x14ac:dyDescent="0.25">
      <c r="A97" s="53"/>
      <c r="B97" s="507" t="s">
        <v>915</v>
      </c>
      <c r="C97" s="1122" t="s">
        <v>1804</v>
      </c>
      <c r="D97" s="1120" t="s">
        <v>2135</v>
      </c>
      <c r="E97" s="1120" t="s">
        <v>2136</v>
      </c>
      <c r="F97" s="53"/>
      <c r="G97" s="53"/>
      <c r="H97" s="53"/>
      <c r="I97" s="53"/>
      <c r="J97" s="53"/>
      <c r="K97" s="53"/>
      <c r="L97" s="53"/>
      <c r="M97" s="53"/>
    </row>
    <row r="98" spans="1:13" ht="17.25" customHeight="1" x14ac:dyDescent="0.25">
      <c r="A98" s="53"/>
      <c r="B98" s="1123"/>
      <c r="C98" s="1123"/>
      <c r="D98" s="1123" t="s">
        <v>129</v>
      </c>
      <c r="E98" s="1130" t="str">
        <f t="shared" ref="E98:E105" si="1">IF(C98="","",IF(AND(D98&lt;&gt;"Select",D98&lt;&gt;"None"),"Yes","No"))</f>
        <v/>
      </c>
      <c r="F98" s="53"/>
      <c r="G98" s="53"/>
      <c r="H98" s="53"/>
      <c r="I98" s="53"/>
      <c r="J98" s="53"/>
      <c r="K98" s="53"/>
      <c r="L98" s="53"/>
      <c r="M98" s="53"/>
    </row>
    <row r="99" spans="1:13" ht="17.25" customHeight="1" x14ac:dyDescent="0.25">
      <c r="A99" s="53"/>
      <c r="B99" s="1124"/>
      <c r="C99" s="1124"/>
      <c r="D99" s="1123" t="s">
        <v>129</v>
      </c>
      <c r="E99" s="1130" t="str">
        <f t="shared" si="1"/>
        <v/>
      </c>
      <c r="F99" s="53"/>
      <c r="G99" s="53"/>
      <c r="H99" s="53"/>
      <c r="I99" s="53"/>
      <c r="J99" s="53"/>
      <c r="K99" s="53"/>
      <c r="L99" s="53"/>
      <c r="M99" s="53"/>
    </row>
    <row r="100" spans="1:13" ht="17.25" customHeight="1" x14ac:dyDescent="0.25">
      <c r="A100" s="53"/>
      <c r="B100" s="1124"/>
      <c r="C100" s="1124"/>
      <c r="D100" s="1123" t="s">
        <v>129</v>
      </c>
      <c r="E100" s="1130" t="str">
        <f t="shared" si="1"/>
        <v/>
      </c>
      <c r="F100" s="53"/>
      <c r="G100" s="53"/>
      <c r="H100" s="53"/>
      <c r="I100" s="53"/>
      <c r="J100" s="53"/>
      <c r="K100" s="53"/>
      <c r="L100" s="53"/>
      <c r="M100" s="53"/>
    </row>
    <row r="101" spans="1:13" ht="17.25" customHeight="1" x14ac:dyDescent="0.25">
      <c r="A101" s="53"/>
      <c r="B101" s="1124"/>
      <c r="C101" s="1124"/>
      <c r="D101" s="1123" t="s">
        <v>129</v>
      </c>
      <c r="E101" s="1130" t="str">
        <f t="shared" si="1"/>
        <v/>
      </c>
      <c r="F101" s="53"/>
      <c r="G101" s="53"/>
      <c r="H101" s="53"/>
      <c r="I101" s="53"/>
      <c r="J101" s="53"/>
      <c r="K101" s="53"/>
      <c r="L101" s="53"/>
      <c r="M101" s="53"/>
    </row>
    <row r="102" spans="1:13" ht="17.25" customHeight="1" x14ac:dyDescent="0.25">
      <c r="A102" s="53"/>
      <c r="B102" s="1124"/>
      <c r="C102" s="1124"/>
      <c r="D102" s="1123" t="s">
        <v>129</v>
      </c>
      <c r="E102" s="1130" t="str">
        <f t="shared" si="1"/>
        <v/>
      </c>
      <c r="F102" s="53"/>
      <c r="G102" s="53"/>
      <c r="H102" s="53"/>
      <c r="I102" s="53"/>
      <c r="J102" s="53"/>
      <c r="K102" s="53"/>
      <c r="L102" s="53"/>
      <c r="M102" s="53"/>
    </row>
    <row r="103" spans="1:13" ht="17.25" customHeight="1" x14ac:dyDescent="0.25">
      <c r="A103" s="53"/>
      <c r="B103" s="1124"/>
      <c r="C103" s="1124"/>
      <c r="D103" s="1123" t="s">
        <v>129</v>
      </c>
      <c r="E103" s="1130" t="str">
        <f t="shared" si="1"/>
        <v/>
      </c>
      <c r="F103" s="53"/>
      <c r="G103" s="53"/>
      <c r="H103" s="53"/>
      <c r="I103" s="53"/>
      <c r="J103" s="53"/>
      <c r="K103" s="53"/>
      <c r="L103" s="53"/>
      <c r="M103" s="53"/>
    </row>
    <row r="104" spans="1:13" ht="17.25" customHeight="1" x14ac:dyDescent="0.25">
      <c r="A104" s="53"/>
      <c r="B104" s="1124"/>
      <c r="C104" s="1124"/>
      <c r="D104" s="1123" t="s">
        <v>129</v>
      </c>
      <c r="E104" s="1130" t="str">
        <f t="shared" si="1"/>
        <v/>
      </c>
      <c r="F104" s="53"/>
      <c r="G104" s="53"/>
      <c r="H104" s="53"/>
      <c r="I104" s="53"/>
      <c r="J104" s="53"/>
      <c r="K104" s="53"/>
      <c r="L104" s="53"/>
      <c r="M104" s="53"/>
    </row>
    <row r="105" spans="1:13" ht="17.25" customHeight="1" x14ac:dyDescent="0.25">
      <c r="A105" s="53"/>
      <c r="B105" s="1124"/>
      <c r="C105" s="1124"/>
      <c r="D105" s="1123" t="s">
        <v>129</v>
      </c>
      <c r="E105" s="1130" t="str">
        <f t="shared" si="1"/>
        <v/>
      </c>
      <c r="F105" s="53"/>
      <c r="G105" s="53"/>
      <c r="H105" s="53"/>
      <c r="I105" s="53"/>
      <c r="J105" s="53"/>
      <c r="K105" s="53"/>
      <c r="L105" s="53"/>
      <c r="M105" s="53"/>
    </row>
    <row r="106" spans="1:13" x14ac:dyDescent="0.25">
      <c r="A106" s="53"/>
      <c r="B106" s="466"/>
      <c r="C106" s="53"/>
      <c r="D106" s="53"/>
      <c r="E106" s="53"/>
      <c r="F106" s="53"/>
      <c r="G106" s="53"/>
      <c r="H106" s="53"/>
      <c r="I106" s="53"/>
      <c r="J106" s="53"/>
      <c r="K106" s="53"/>
      <c r="L106" s="53"/>
      <c r="M106" s="53"/>
    </row>
    <row r="107" spans="1:13" ht="18.75" customHeight="1" x14ac:dyDescent="0.25">
      <c r="A107" s="53"/>
      <c r="B107" s="1412" t="s">
        <v>2137</v>
      </c>
      <c r="C107" s="1412"/>
      <c r="D107" s="250" t="str">
        <f>IFERROR(SUMIF(E98:E105,"Yes",C98:C105)/SUM(C98:C105),"")</f>
        <v/>
      </c>
      <c r="E107" s="54"/>
      <c r="F107" s="53"/>
      <c r="G107" s="53"/>
      <c r="H107" s="53"/>
      <c r="I107" s="53"/>
      <c r="J107" s="53"/>
      <c r="K107" s="53"/>
      <c r="L107" s="53"/>
      <c r="M107" s="53"/>
    </row>
    <row r="108" spans="1:13" ht="18.75" customHeight="1" x14ac:dyDescent="0.25">
      <c r="A108" s="53"/>
      <c r="B108" s="53"/>
      <c r="C108" s="53"/>
      <c r="D108" s="53"/>
      <c r="E108" s="53"/>
      <c r="F108" s="53"/>
      <c r="G108" s="53"/>
      <c r="H108" s="53"/>
      <c r="I108" s="53"/>
      <c r="J108" s="53"/>
      <c r="K108" s="53"/>
      <c r="L108" s="53"/>
      <c r="M108" s="53"/>
    </row>
    <row r="109" spans="1:13" ht="18.75" customHeight="1" x14ac:dyDescent="0.25">
      <c r="A109" s="53"/>
      <c r="B109" s="466" t="s">
        <v>916</v>
      </c>
      <c r="C109" s="53"/>
      <c r="D109" s="53"/>
      <c r="E109" s="54"/>
      <c r="F109" s="53"/>
      <c r="G109" s="53"/>
      <c r="H109" s="53"/>
      <c r="I109" s="53"/>
      <c r="J109" s="53"/>
      <c r="K109" s="53"/>
      <c r="L109" s="53"/>
      <c r="M109" s="53"/>
    </row>
    <row r="110" spans="1:13" ht="14.25" customHeight="1" x14ac:dyDescent="0.25">
      <c r="A110" s="53"/>
      <c r="B110" s="466"/>
      <c r="C110" s="53"/>
      <c r="D110" s="53"/>
      <c r="E110" s="54"/>
      <c r="F110" s="53"/>
      <c r="G110" s="53"/>
      <c r="H110" s="53"/>
      <c r="I110" s="53"/>
      <c r="J110" s="53"/>
      <c r="K110" s="53"/>
      <c r="L110" s="53"/>
      <c r="M110" s="53"/>
    </row>
    <row r="111" spans="1:13" ht="15" customHeight="1" x14ac:dyDescent="0.25">
      <c r="A111" s="53"/>
      <c r="B111" s="1411" t="s">
        <v>2138</v>
      </c>
      <c r="C111" s="1411"/>
      <c r="D111" s="1411"/>
      <c r="E111" s="1411"/>
      <c r="F111" s="1411"/>
      <c r="G111" s="53"/>
      <c r="H111" s="53"/>
      <c r="I111" s="53"/>
      <c r="J111" s="53"/>
      <c r="K111" s="53"/>
      <c r="L111" s="53"/>
      <c r="M111" s="53"/>
    </row>
    <row r="112" spans="1:13" ht="9.75" customHeight="1" x14ac:dyDescent="0.25">
      <c r="A112" s="53"/>
      <c r="B112" s="466"/>
      <c r="C112" s="53"/>
      <c r="D112" s="53"/>
      <c r="E112" s="53"/>
      <c r="F112" s="53"/>
      <c r="G112" s="53"/>
      <c r="H112" s="53"/>
      <c r="I112" s="53"/>
      <c r="J112" s="53"/>
      <c r="K112" s="53"/>
      <c r="L112" s="53"/>
      <c r="M112" s="53"/>
    </row>
    <row r="113" spans="1:14" ht="18.75" customHeight="1" x14ac:dyDescent="0.25">
      <c r="A113" s="53"/>
      <c r="B113" s="507" t="s">
        <v>915</v>
      </c>
      <c r="C113" s="1122" t="s">
        <v>1804</v>
      </c>
      <c r="D113" s="1120" t="s">
        <v>2135</v>
      </c>
      <c r="E113" s="1120" t="s">
        <v>2136</v>
      </c>
      <c r="F113" s="53"/>
      <c r="G113" s="53"/>
      <c r="H113" s="53"/>
      <c r="I113" s="53"/>
      <c r="J113" s="53"/>
      <c r="K113" s="53"/>
      <c r="L113" s="53"/>
      <c r="M113" s="53"/>
      <c r="N113" s="87" t="b">
        <v>0</v>
      </c>
    </row>
    <row r="114" spans="1:14" ht="18.75" customHeight="1" x14ac:dyDescent="0.25">
      <c r="A114" s="53"/>
      <c r="B114" s="1123"/>
      <c r="C114" s="1123"/>
      <c r="D114" s="1123" t="s">
        <v>129</v>
      </c>
      <c r="E114" s="1130" t="str">
        <f t="shared" ref="E114:E121" si="2">IF(C114="","",IF(AND(D114&lt;&gt;"Select",D114&lt;&gt;"None"),"Yes","No"))</f>
        <v/>
      </c>
      <c r="F114" s="53"/>
      <c r="G114" s="53"/>
      <c r="H114" s="53"/>
      <c r="I114" s="53"/>
      <c r="J114" s="53"/>
      <c r="K114" s="53"/>
      <c r="L114" s="53"/>
      <c r="M114" s="53"/>
      <c r="N114" s="87"/>
    </row>
    <row r="115" spans="1:14" ht="18.75" customHeight="1" x14ac:dyDescent="0.25">
      <c r="A115" s="53"/>
      <c r="B115" s="1124"/>
      <c r="C115" s="1124"/>
      <c r="D115" s="1123" t="s">
        <v>129</v>
      </c>
      <c r="E115" s="1130" t="str">
        <f t="shared" si="2"/>
        <v/>
      </c>
      <c r="F115" s="53"/>
      <c r="G115" s="53"/>
      <c r="H115" s="53"/>
      <c r="I115" s="53"/>
      <c r="J115" s="53"/>
      <c r="K115" s="53"/>
      <c r="L115" s="53"/>
      <c r="M115" s="53"/>
      <c r="N115" s="87"/>
    </row>
    <row r="116" spans="1:14" ht="18.75" customHeight="1" x14ac:dyDescent="0.25">
      <c r="A116" s="53"/>
      <c r="B116" s="1124"/>
      <c r="C116" s="1124"/>
      <c r="D116" s="1123" t="s">
        <v>129</v>
      </c>
      <c r="E116" s="1130" t="str">
        <f t="shared" si="2"/>
        <v/>
      </c>
      <c r="F116" s="53"/>
      <c r="G116" s="53"/>
      <c r="H116" s="53"/>
      <c r="I116" s="53"/>
      <c r="J116" s="53"/>
      <c r="K116" s="53"/>
      <c r="L116" s="53"/>
      <c r="M116" s="53"/>
      <c r="N116" s="87"/>
    </row>
    <row r="117" spans="1:14" ht="18.75" customHeight="1" x14ac:dyDescent="0.25">
      <c r="A117" s="53"/>
      <c r="B117" s="1124"/>
      <c r="C117" s="1124"/>
      <c r="D117" s="1123" t="s">
        <v>129</v>
      </c>
      <c r="E117" s="1130" t="str">
        <f t="shared" si="2"/>
        <v/>
      </c>
      <c r="F117" s="53"/>
      <c r="G117" s="53"/>
      <c r="H117" s="53"/>
      <c r="I117" s="53"/>
      <c r="J117" s="53"/>
      <c r="K117" s="53"/>
      <c r="L117" s="53"/>
      <c r="M117" s="53"/>
      <c r="N117" s="87"/>
    </row>
    <row r="118" spans="1:14" ht="18.75" customHeight="1" x14ac:dyDescent="0.25">
      <c r="A118" s="53"/>
      <c r="B118" s="1124"/>
      <c r="C118" s="1124"/>
      <c r="D118" s="1123" t="s">
        <v>129</v>
      </c>
      <c r="E118" s="1130" t="str">
        <f t="shared" si="2"/>
        <v/>
      </c>
      <c r="F118" s="53"/>
      <c r="G118" s="53"/>
      <c r="H118" s="53"/>
      <c r="I118" s="53"/>
      <c r="J118" s="53"/>
      <c r="K118" s="53"/>
      <c r="L118" s="53"/>
      <c r="M118" s="53"/>
      <c r="N118" s="87"/>
    </row>
    <row r="119" spans="1:14" ht="18.75" customHeight="1" x14ac:dyDescent="0.25">
      <c r="A119" s="53"/>
      <c r="B119" s="1124"/>
      <c r="C119" s="1124"/>
      <c r="D119" s="1123" t="s">
        <v>129</v>
      </c>
      <c r="E119" s="1130" t="str">
        <f t="shared" si="2"/>
        <v/>
      </c>
      <c r="F119" s="53"/>
      <c r="G119" s="53"/>
      <c r="H119" s="53"/>
      <c r="I119" s="53"/>
      <c r="J119" s="53"/>
      <c r="K119" s="53"/>
      <c r="L119" s="53"/>
      <c r="M119" s="53"/>
      <c r="N119" s="87"/>
    </row>
    <row r="120" spans="1:14" ht="18.75" customHeight="1" x14ac:dyDescent="0.25">
      <c r="A120" s="53"/>
      <c r="B120" s="1124"/>
      <c r="C120" s="1124"/>
      <c r="D120" s="1123" t="s">
        <v>129</v>
      </c>
      <c r="E120" s="1130" t="str">
        <f t="shared" si="2"/>
        <v/>
      </c>
      <c r="F120" s="53"/>
      <c r="G120" s="53"/>
      <c r="H120" s="53"/>
      <c r="I120" s="53"/>
      <c r="J120" s="53"/>
      <c r="K120" s="53"/>
      <c r="L120" s="53"/>
      <c r="M120" s="53"/>
      <c r="N120" s="87"/>
    </row>
    <row r="121" spans="1:14" ht="18.75" customHeight="1" x14ac:dyDescent="0.25">
      <c r="A121" s="53"/>
      <c r="B121" s="1124"/>
      <c r="C121" s="1124"/>
      <c r="D121" s="1123" t="s">
        <v>129</v>
      </c>
      <c r="E121" s="1130" t="str">
        <f t="shared" si="2"/>
        <v/>
      </c>
      <c r="F121" s="53"/>
      <c r="G121" s="53"/>
      <c r="H121" s="53"/>
      <c r="I121" s="53"/>
      <c r="J121" s="53"/>
      <c r="K121" s="53"/>
      <c r="L121" s="53"/>
      <c r="M121" s="53"/>
      <c r="N121" s="87"/>
    </row>
    <row r="122" spans="1:14" ht="18.75" customHeight="1" x14ac:dyDescent="0.25">
      <c r="A122" s="53"/>
      <c r="B122" s="53"/>
      <c r="C122" s="53"/>
      <c r="D122" s="53"/>
      <c r="E122" s="54"/>
      <c r="F122" s="53"/>
      <c r="G122" s="53"/>
      <c r="H122" s="53"/>
      <c r="I122" s="53"/>
      <c r="J122" s="53"/>
      <c r="K122" s="53"/>
      <c r="L122" s="53"/>
      <c r="M122" s="53"/>
    </row>
    <row r="123" spans="1:14" ht="18.75" customHeight="1" x14ac:dyDescent="0.25">
      <c r="A123" s="53"/>
      <c r="B123" s="1412" t="s">
        <v>2137</v>
      </c>
      <c r="C123" s="1412"/>
      <c r="D123" s="250" t="str">
        <f>IFERROR(SUMIF(E114:E121,"Yes",C114:C121)/SUM(C114:C121),"")</f>
        <v/>
      </c>
      <c r="E123" s="54"/>
      <c r="F123" s="53"/>
      <c r="G123" s="53"/>
      <c r="H123" s="53"/>
      <c r="I123" s="53"/>
      <c r="J123" s="53"/>
      <c r="K123" s="53"/>
      <c r="L123" s="53"/>
      <c r="M123" s="53"/>
    </row>
    <row r="124" spans="1:14" ht="18.75" customHeight="1" x14ac:dyDescent="0.25">
      <c r="A124" s="53"/>
      <c r="B124" s="53"/>
      <c r="C124" s="53"/>
      <c r="D124" s="53"/>
      <c r="E124" s="54"/>
      <c r="F124" s="53"/>
      <c r="G124" s="53"/>
      <c r="H124" s="53"/>
      <c r="I124" s="53"/>
      <c r="J124" s="53"/>
      <c r="K124" s="53"/>
      <c r="L124" s="53"/>
      <c r="M124" s="53"/>
    </row>
    <row r="125" spans="1:14" ht="16.5" customHeight="1" x14ac:dyDescent="0.25">
      <c r="A125" s="1410" t="s">
        <v>200</v>
      </c>
      <c r="B125" s="1410"/>
      <c r="C125" s="1410"/>
      <c r="D125" s="53"/>
      <c r="E125" s="53"/>
      <c r="F125" s="53"/>
      <c r="G125" s="53"/>
      <c r="H125" s="53"/>
      <c r="I125" s="53"/>
      <c r="J125" s="53"/>
      <c r="K125" s="53"/>
      <c r="L125" s="53"/>
      <c r="M125" s="53"/>
    </row>
    <row r="126" spans="1:14" x14ac:dyDescent="0.25">
      <c r="A126" s="53"/>
      <c r="B126" s="53"/>
      <c r="C126" s="53"/>
      <c r="D126" s="53"/>
      <c r="E126" s="53"/>
      <c r="F126" s="53"/>
      <c r="G126" s="53"/>
      <c r="H126" s="53"/>
      <c r="I126" s="53"/>
      <c r="J126" s="53"/>
      <c r="K126" s="53"/>
      <c r="L126" s="53"/>
      <c r="M126" s="53"/>
    </row>
    <row r="127" spans="1:14" ht="18" customHeight="1" x14ac:dyDescent="0.25">
      <c r="A127" s="53"/>
      <c r="B127" s="1446" t="s">
        <v>2103</v>
      </c>
      <c r="C127" s="1447"/>
      <c r="D127" s="1447"/>
      <c r="E127" s="1447"/>
      <c r="F127" s="1447"/>
      <c r="G127" s="1045" t="s">
        <v>2101</v>
      </c>
      <c r="H127" s="1443" t="s">
        <v>2102</v>
      </c>
      <c r="I127" s="1444"/>
      <c r="J127" s="53"/>
      <c r="K127" s="53"/>
      <c r="L127" s="53"/>
      <c r="M127" s="53"/>
    </row>
    <row r="128" spans="1:14" ht="24" customHeight="1" x14ac:dyDescent="0.25">
      <c r="A128" s="53"/>
      <c r="B128" s="1436" t="s">
        <v>1318</v>
      </c>
      <c r="C128" s="1437"/>
      <c r="D128" s="1437"/>
      <c r="E128" s="1437"/>
      <c r="F128" s="1438"/>
      <c r="G128" s="518" t="s">
        <v>129</v>
      </c>
      <c r="H128" s="1441"/>
      <c r="I128" s="1442"/>
      <c r="J128" s="53"/>
      <c r="K128" s="53"/>
      <c r="L128" s="53"/>
      <c r="M128" s="53"/>
    </row>
    <row r="129" spans="1:13" ht="24" customHeight="1" x14ac:dyDescent="0.25">
      <c r="A129" s="53"/>
      <c r="B129" s="1436" t="s">
        <v>1319</v>
      </c>
      <c r="C129" s="1437"/>
      <c r="D129" s="1437"/>
      <c r="E129" s="1437"/>
      <c r="F129" s="1438"/>
      <c r="G129" s="518" t="s">
        <v>129</v>
      </c>
      <c r="H129" s="1441"/>
      <c r="I129" s="1442"/>
      <c r="J129" s="53"/>
      <c r="K129" s="53"/>
      <c r="L129" s="53"/>
      <c r="M129" s="53"/>
    </row>
    <row r="130" spans="1:13" ht="17.25" customHeight="1" x14ac:dyDescent="0.25">
      <c r="A130" s="53"/>
      <c r="B130" s="53"/>
      <c r="C130" s="53"/>
      <c r="D130" s="53"/>
      <c r="E130" s="53"/>
      <c r="F130" s="53"/>
      <c r="G130" s="53"/>
      <c r="H130" s="53"/>
      <c r="I130" s="53"/>
      <c r="J130" s="53"/>
      <c r="K130" s="53"/>
      <c r="L130" s="53"/>
      <c r="M130" s="53"/>
    </row>
    <row r="131" spans="1:13" ht="16.5" customHeight="1" x14ac:dyDescent="0.25">
      <c r="A131" s="1410" t="s">
        <v>25</v>
      </c>
      <c r="B131" s="1410"/>
      <c r="C131" s="1410"/>
      <c r="D131" s="53"/>
      <c r="E131" s="53"/>
      <c r="F131" s="53"/>
      <c r="G131" s="53"/>
      <c r="H131" s="53"/>
      <c r="I131" s="53"/>
      <c r="J131" s="53"/>
      <c r="K131" s="53"/>
      <c r="L131" s="53"/>
      <c r="M131" s="53"/>
    </row>
    <row r="132" spans="1:13" ht="15" customHeight="1" x14ac:dyDescent="0.25">
      <c r="A132" s="53"/>
      <c r="B132" s="53"/>
      <c r="C132" s="53"/>
      <c r="D132" s="53"/>
      <c r="E132" s="53"/>
      <c r="F132" s="53"/>
      <c r="G132" s="53"/>
      <c r="H132" s="53"/>
      <c r="I132" s="53"/>
      <c r="J132" s="53"/>
      <c r="K132" s="53"/>
      <c r="L132" s="53"/>
      <c r="M132" s="53"/>
    </row>
    <row r="133" spans="1:13" ht="18" customHeight="1" x14ac:dyDescent="0.25">
      <c r="A133" s="53"/>
      <c r="B133" s="192" t="s">
        <v>56</v>
      </c>
      <c r="C133" s="1190">
        <f>IF(AND(D123&lt;&gt;"",D123&gt;=0.9),1,0)+IF(AND(D107&lt;&gt;"",D107&gt;=0.9),1,0)</f>
        <v>0</v>
      </c>
      <c r="D133" s="53"/>
      <c r="E133" s="54"/>
      <c r="F133" s="53"/>
      <c r="G133" s="53"/>
      <c r="H133" s="53"/>
      <c r="I133" s="53"/>
      <c r="J133" s="53"/>
      <c r="K133" s="53"/>
      <c r="L133" s="53"/>
      <c r="M133" s="53"/>
    </row>
    <row r="134" spans="1:13" ht="18" customHeight="1" x14ac:dyDescent="0.25">
      <c r="A134" s="53"/>
      <c r="B134" s="192" t="s">
        <v>521</v>
      </c>
      <c r="C134" s="1190" t="str">
        <f>IF(AND(G128="Submitted",G129="Submitted",C133&gt;0),"Yes","No")</f>
        <v>No</v>
      </c>
      <c r="D134" s="53"/>
      <c r="E134" s="53"/>
      <c r="F134" s="53"/>
      <c r="G134" s="53"/>
      <c r="H134" s="53"/>
      <c r="I134" s="53"/>
      <c r="J134" s="53"/>
      <c r="K134" s="53"/>
      <c r="L134" s="53"/>
      <c r="M134" s="53"/>
    </row>
    <row r="135" spans="1:13" ht="15" customHeight="1" x14ac:dyDescent="0.25">
      <c r="A135" s="53"/>
      <c r="B135" s="53"/>
      <c r="C135" s="53"/>
      <c r="D135" s="53"/>
      <c r="E135" s="53"/>
      <c r="F135" s="53"/>
      <c r="G135" s="53"/>
      <c r="H135" s="53"/>
      <c r="I135" s="53"/>
      <c r="J135" s="53"/>
      <c r="K135" s="53"/>
      <c r="L135" s="53"/>
      <c r="M135" s="53"/>
    </row>
    <row r="136" spans="1:13" ht="15" hidden="1" customHeight="1" x14ac:dyDescent="0.25">
      <c r="A136" s="53"/>
      <c r="B136" s="53"/>
      <c r="C136" s="53"/>
      <c r="D136" s="53"/>
      <c r="E136" s="53"/>
      <c r="F136" s="53"/>
      <c r="G136" s="53"/>
      <c r="H136" s="53"/>
      <c r="I136" s="53"/>
      <c r="J136" s="53"/>
      <c r="K136" s="53"/>
      <c r="L136" s="53"/>
      <c r="M136" s="53"/>
    </row>
    <row r="137" spans="1:13" ht="15" hidden="1" customHeight="1" x14ac:dyDescent="0.25">
      <c r="A137" s="53"/>
      <c r="B137" s="53"/>
      <c r="C137" s="53"/>
      <c r="D137" s="53"/>
      <c r="E137" s="53"/>
      <c r="F137" s="53"/>
      <c r="G137" s="53"/>
      <c r="H137" s="53"/>
      <c r="I137" s="53"/>
      <c r="J137" s="53"/>
      <c r="K137" s="53"/>
      <c r="L137" s="53"/>
      <c r="M137" s="53"/>
    </row>
    <row r="138" spans="1:13" ht="15" hidden="1" customHeight="1" x14ac:dyDescent="0.25">
      <c r="A138" s="53"/>
      <c r="B138" s="53"/>
      <c r="C138" s="53"/>
      <c r="D138" s="53"/>
      <c r="E138" s="53"/>
      <c r="F138" s="53"/>
      <c r="G138" s="53"/>
      <c r="H138" s="53"/>
      <c r="I138" s="53"/>
      <c r="J138" s="53"/>
      <c r="K138" s="53"/>
      <c r="L138" s="53"/>
      <c r="M138" s="53"/>
    </row>
    <row r="139" spans="1:13" ht="15" hidden="1" customHeight="1" x14ac:dyDescent="0.25">
      <c r="A139" s="53"/>
      <c r="B139" s="53"/>
      <c r="C139" s="53"/>
      <c r="D139" s="53"/>
      <c r="E139" s="53"/>
      <c r="F139" s="53"/>
      <c r="G139" s="53"/>
      <c r="H139" s="53"/>
      <c r="I139" s="53"/>
      <c r="J139" s="53"/>
      <c r="K139" s="53"/>
      <c r="L139" s="53"/>
      <c r="M139" s="53"/>
    </row>
    <row r="140" spans="1:13" ht="15" hidden="1" customHeight="1" x14ac:dyDescent="0.25">
      <c r="A140" s="53"/>
      <c r="B140" s="53"/>
      <c r="C140" s="53"/>
      <c r="D140" s="53"/>
      <c r="E140" s="53"/>
      <c r="F140" s="53"/>
      <c r="G140" s="53"/>
      <c r="H140" s="53"/>
      <c r="I140" s="53"/>
      <c r="J140" s="53"/>
      <c r="K140" s="53"/>
      <c r="L140" s="53"/>
      <c r="M140" s="53"/>
    </row>
    <row r="141" spans="1:13" ht="15" hidden="1" customHeight="1" x14ac:dyDescent="0.25">
      <c r="A141" s="53"/>
      <c r="B141" s="53"/>
      <c r="C141" s="53"/>
      <c r="D141" s="53"/>
      <c r="E141" s="53"/>
      <c r="F141" s="53"/>
      <c r="G141" s="53"/>
      <c r="H141" s="53"/>
      <c r="I141" s="53"/>
      <c r="J141" s="53"/>
      <c r="K141" s="53"/>
      <c r="L141" s="53"/>
      <c r="M141" s="53"/>
    </row>
    <row r="142" spans="1:13" ht="15" hidden="1" customHeight="1" x14ac:dyDescent="0.25">
      <c r="A142" s="53"/>
      <c r="B142" s="53"/>
      <c r="C142" s="53"/>
      <c r="D142" s="53"/>
      <c r="E142" s="53"/>
      <c r="F142" s="53"/>
      <c r="G142" s="53"/>
      <c r="H142" s="53"/>
      <c r="I142" s="53"/>
      <c r="J142" s="53"/>
      <c r="K142" s="53"/>
      <c r="L142" s="53"/>
      <c r="M142" s="53"/>
    </row>
    <row r="143" spans="1:13" ht="15" hidden="1" customHeight="1" x14ac:dyDescent="0.25">
      <c r="A143" s="53"/>
      <c r="B143" s="53"/>
      <c r="C143" s="53"/>
      <c r="D143" s="53"/>
      <c r="E143" s="53"/>
      <c r="F143" s="53"/>
      <c r="G143" s="53"/>
      <c r="H143" s="53"/>
      <c r="I143" s="53"/>
      <c r="J143" s="53"/>
      <c r="K143" s="53"/>
      <c r="L143" s="53"/>
      <c r="M143" s="53"/>
    </row>
    <row r="144" spans="1:13" ht="15.75" hidden="1" customHeight="1" x14ac:dyDescent="0.25">
      <c r="A144" s="53"/>
      <c r="B144" s="53"/>
      <c r="C144" s="53"/>
      <c r="D144" s="53"/>
      <c r="E144" s="53"/>
      <c r="F144" s="53"/>
      <c r="G144" s="53"/>
      <c r="H144" s="53"/>
      <c r="I144" s="53"/>
      <c r="J144" s="53"/>
      <c r="K144" s="53"/>
      <c r="L144" s="53"/>
      <c r="M144" s="53"/>
    </row>
    <row r="145" spans="1:13" ht="15" hidden="1" customHeight="1" x14ac:dyDescent="0.25">
      <c r="A145" s="53"/>
      <c r="B145" s="53"/>
      <c r="C145" s="53"/>
      <c r="D145" s="53"/>
      <c r="E145" s="53"/>
      <c r="F145" s="53"/>
      <c r="G145" s="53"/>
      <c r="H145" s="53"/>
      <c r="I145" s="53"/>
      <c r="J145" s="53"/>
      <c r="K145" s="53"/>
      <c r="L145" s="53"/>
      <c r="M145" s="53"/>
    </row>
    <row r="146" spans="1:13" ht="15" hidden="1" customHeight="1" x14ac:dyDescent="0.25">
      <c r="A146" s="53"/>
      <c r="B146" s="53"/>
      <c r="C146" s="53"/>
      <c r="D146" s="53"/>
      <c r="E146" s="53"/>
      <c r="F146" s="53"/>
      <c r="G146" s="53"/>
      <c r="H146" s="53"/>
      <c r="I146" s="53"/>
      <c r="J146" s="53"/>
      <c r="K146" s="53"/>
      <c r="L146" s="53"/>
      <c r="M146" s="53"/>
    </row>
    <row r="147" spans="1:13" ht="15" hidden="1" customHeight="1" x14ac:dyDescent="0.25"/>
    <row r="148" spans="1:13" ht="15" hidden="1" customHeight="1" x14ac:dyDescent="0.25"/>
    <row r="149" spans="1:13" ht="15" hidden="1" customHeight="1" x14ac:dyDescent="0.25"/>
    <row r="150" spans="1:13" ht="15" hidden="1" customHeight="1" x14ac:dyDescent="0.25"/>
    <row r="151" spans="1:13" ht="15" hidden="1" customHeight="1" x14ac:dyDescent="0.25"/>
    <row r="152" spans="1:13" ht="15" hidden="1" customHeight="1" x14ac:dyDescent="0.25"/>
    <row r="153" spans="1:13" ht="15" hidden="1" customHeight="1" x14ac:dyDescent="0.25"/>
    <row r="154" spans="1:13" ht="15" hidden="1" customHeight="1" x14ac:dyDescent="0.25"/>
    <row r="155" spans="1:13" ht="15" hidden="1" customHeight="1" x14ac:dyDescent="0.25"/>
    <row r="156" spans="1:13" ht="15" hidden="1" customHeight="1" x14ac:dyDescent="0.25"/>
    <row r="157" spans="1:13" ht="15" hidden="1" customHeight="1" x14ac:dyDescent="0.25"/>
    <row r="158" spans="1:13" ht="15" hidden="1" customHeight="1" x14ac:dyDescent="0.25"/>
    <row r="159" spans="1:13" ht="15" hidden="1" customHeight="1" x14ac:dyDescent="0.25"/>
    <row r="160" spans="1:13"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sheetData>
  <sheetProtection algorithmName="SHA-512" hashValue="120Yn8K+UUKnFHx+wv3zyHtXD4nSh52OoPRFezZCXU0cu1DbXUNPceK7KCazEsXezK3f7nfdQ+nX1AVZzhl5kQ==" saltValue="li75ad9V57U3VT7VQQ+VrQ==" spinCount="100000" sheet="1" objects="1" scenarios="1"/>
  <mergeCells count="71">
    <mergeCell ref="H70:I70"/>
    <mergeCell ref="B90:I90"/>
    <mergeCell ref="B91:I91"/>
    <mergeCell ref="B88:I88"/>
    <mergeCell ref="B81:I81"/>
    <mergeCell ref="B82:I82"/>
    <mergeCell ref="B86:I86"/>
    <mergeCell ref="B83:I83"/>
    <mergeCell ref="B84:I84"/>
    <mergeCell ref="B85:I85"/>
    <mergeCell ref="B87:I87"/>
    <mergeCell ref="A79:C79"/>
    <mergeCell ref="H18:M19"/>
    <mergeCell ref="B127:F127"/>
    <mergeCell ref="H127:I127"/>
    <mergeCell ref="B69:F69"/>
    <mergeCell ref="B70:F70"/>
    <mergeCell ref="B32:C32"/>
    <mergeCell ref="B33:C33"/>
    <mergeCell ref="B64:C64"/>
    <mergeCell ref="B34:C34"/>
    <mergeCell ref="B36:C36"/>
    <mergeCell ref="B41:F41"/>
    <mergeCell ref="C61:D61"/>
    <mergeCell ref="C62:D62"/>
    <mergeCell ref="B40:F40"/>
    <mergeCell ref="B68:F68"/>
    <mergeCell ref="H68:I68"/>
    <mergeCell ref="B28:F28"/>
    <mergeCell ref="A49:M49"/>
    <mergeCell ref="A26:C26"/>
    <mergeCell ref="H40:I40"/>
    <mergeCell ref="H41:I41"/>
    <mergeCell ref="H42:I42"/>
    <mergeCell ref="A131:C131"/>
    <mergeCell ref="A72:C72"/>
    <mergeCell ref="A66:C66"/>
    <mergeCell ref="A55:C55"/>
    <mergeCell ref="A38:C38"/>
    <mergeCell ref="A44:C44"/>
    <mergeCell ref="B129:F129"/>
    <mergeCell ref="A51:C51"/>
    <mergeCell ref="B57:F57"/>
    <mergeCell ref="B42:F42"/>
    <mergeCell ref="C60:D60"/>
    <mergeCell ref="B128:F128"/>
    <mergeCell ref="A77:M77"/>
    <mergeCell ref="H128:I128"/>
    <mergeCell ref="H129:I129"/>
    <mergeCell ref="H69:I69"/>
    <mergeCell ref="A1:F1"/>
    <mergeCell ref="B30:C30"/>
    <mergeCell ref="B31:C31"/>
    <mergeCell ref="B21:H21"/>
    <mergeCell ref="B23:H23"/>
    <mergeCell ref="B24:H24"/>
    <mergeCell ref="A5:M7"/>
    <mergeCell ref="I2:J4"/>
    <mergeCell ref="B11:E11"/>
    <mergeCell ref="B12:E12"/>
    <mergeCell ref="B13:E13"/>
    <mergeCell ref="B14:E14"/>
    <mergeCell ref="A9:M9"/>
    <mergeCell ref="A17:M17"/>
    <mergeCell ref="B15:E15"/>
    <mergeCell ref="A19:C19"/>
    <mergeCell ref="A125:C125"/>
    <mergeCell ref="B95:F95"/>
    <mergeCell ref="B107:C107"/>
    <mergeCell ref="B111:F111"/>
    <mergeCell ref="B123:C123"/>
  </mergeCells>
  <conditionalFormatting sqref="B12:B13 B15">
    <cfRule type="expression" dxfId="335" priority="26">
      <formula>#REF!="Performance Path"</formula>
    </cfRule>
  </conditionalFormatting>
  <conditionalFormatting sqref="F12:H14 F15:G15">
    <cfRule type="expression" dxfId="334" priority="304">
      <formula>OR(#REF!="No",#REF!="Không")</formula>
    </cfRule>
  </conditionalFormatting>
  <conditionalFormatting sqref="F12:H14 F15:G15">
    <cfRule type="expression" dxfId="333" priority="305">
      <formula>OR($D12="No",$D12="Không")</formula>
    </cfRule>
    <cfRule type="expression" dxfId="332" priority="306">
      <formula>OR(#REF!="No",#REF!="Không")</formula>
    </cfRule>
  </conditionalFormatting>
  <conditionalFormatting sqref="G12:H14 G15">
    <cfRule type="expression" dxfId="331" priority="16">
      <formula>OR(#REF!="No",#REF!="Không")</formula>
    </cfRule>
  </conditionalFormatting>
  <conditionalFormatting sqref="G12:H12">
    <cfRule type="expression" dxfId="330" priority="14">
      <formula>OR($D12="No",$D12="Không")</formula>
    </cfRule>
    <cfRule type="expression" dxfId="329" priority="15">
      <formula>OR(#REF!="No",#REF!="Không")</formula>
    </cfRule>
  </conditionalFormatting>
  <conditionalFormatting sqref="G13:H13">
    <cfRule type="expression" dxfId="328" priority="11">
      <formula>OR($D13="No",$D13="Không")</formula>
    </cfRule>
    <cfRule type="expression" dxfId="327" priority="12">
      <formula>OR(#REF!="No",#REF!="Không")</formula>
    </cfRule>
  </conditionalFormatting>
  <conditionalFormatting sqref="G14:H14 G15">
    <cfRule type="expression" dxfId="326" priority="8">
      <formula>OR($D14="No",$D14="Không")</formula>
    </cfRule>
    <cfRule type="expression" dxfId="325" priority="9">
      <formula>OR(#REF!="No",#REF!="Không")</formula>
    </cfRule>
  </conditionalFormatting>
  <conditionalFormatting sqref="H15">
    <cfRule type="expression" dxfId="324" priority="5">
      <formula>OR(#REF!="No",#REF!="Không")</formula>
    </cfRule>
  </conditionalFormatting>
  <conditionalFormatting sqref="H15">
    <cfRule type="expression" dxfId="323" priority="6">
      <formula>OR($D15="No",$D15="Không")</formula>
    </cfRule>
    <cfRule type="expression" dxfId="322" priority="7">
      <formula>OR(#REF!="No",#REF!="Không")</formula>
    </cfRule>
  </conditionalFormatting>
  <conditionalFormatting sqref="H15">
    <cfRule type="expression" dxfId="321" priority="4">
      <formula>OR(#REF!="No",#REF!="Không")</formula>
    </cfRule>
  </conditionalFormatting>
  <conditionalFormatting sqref="H15">
    <cfRule type="expression" dxfId="320" priority="2">
      <formula>OR($D15="No",$D15="Không")</formula>
    </cfRule>
    <cfRule type="expression" dxfId="319" priority="3">
      <formula>OR(#REF!="No",#REF!="Không")</formula>
    </cfRule>
  </conditionalFormatting>
  <conditionalFormatting sqref="B14">
    <cfRule type="expression" dxfId="318" priority="1">
      <formula>#REF!="Performance Path"</formula>
    </cfRule>
  </conditionalFormatting>
  <dataValidations disablePrompts="1" count="4">
    <dataValidation type="list" allowBlank="1" showInputMessage="1" showErrorMessage="1" sqref="G69:G70 G41:G42 G128:G129">
      <formula1>"Submitted,Not submitted"</formula1>
    </dataValidation>
    <dataValidation allowBlank="1" showInputMessage="1" showErrorMessage="1" prompt="Example: _x000a_4 windows: 1 of 2 m2, 1 of 3m2 and 2 of 2.5 m2_x000a_Write information as follows:_x000a_&quot;1 W1 - 2 m2_x000a_1 W2 - 3 m2_x000a_2 W3 - 2.5 m2&quot;" sqref="C60:D62"/>
    <dataValidation type="list" allowBlank="1" showInputMessage="1" showErrorMessage="1" sqref="D114:D121">
      <formula1>"Select,Full-height louvered screen,Vegetation,None"</formula1>
    </dataValidation>
    <dataValidation type="list" allowBlank="1" showInputMessage="1" showErrorMessage="1" sqref="D98:D105">
      <formula1>"Select,A coefficient &gt; 1.3,Full-height louvered screen,Vegetation,None"</formula1>
    </dataValidation>
  </dataValidations>
  <hyperlinks>
    <hyperlink ref="L3" location="'E-6 Energy Efficient Appliances'!E3" tooltip="E-6" display="E-6"/>
    <hyperlink ref="L4" location="'E-7 Energy Monitor'!D3" tooltip="E-7" display="E-7"/>
    <hyperlink ref="L2" location="'E-5 Water heating'!D3" tooltip="E-5" display="E-5"/>
    <hyperlink ref="K2" location="'E-2 Building Envelope'!B3" tooltip="E-2" display="E-2"/>
    <hyperlink ref="K3" location="'E-3 Home cooling'!B3" tooltip="E-3" display="E-3"/>
    <hyperlink ref="K4" location="'E-4 Artificial Lighting'!D3" tooltip="E-4" display="E-4"/>
    <hyperlink ref="M3" location="'Energy BPC'!B3" tooltip="BPC" display="BPC"/>
  </hyperlink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58B527"/>
  </sheetPr>
  <dimension ref="A1:AE338"/>
  <sheetViews>
    <sheetView showRowColHeaders="0" workbookViewId="0">
      <pane ySplit="8" topLeftCell="A9" activePane="bottomLeft" state="frozen"/>
      <selection activeCell="E9" sqref="E9:F9"/>
      <selection pane="bottomLeft" activeCell="L4" sqref="L4"/>
    </sheetView>
  </sheetViews>
  <sheetFormatPr defaultColWidth="0" defaultRowHeight="15" zeroHeight="1" x14ac:dyDescent="0.25"/>
  <cols>
    <col min="1" max="1" width="3.28515625" customWidth="1"/>
    <col min="2" max="8" width="19.7109375" customWidth="1"/>
    <col min="9" max="9" width="19.42578125" customWidth="1"/>
    <col min="10" max="10" width="9.7109375" customWidth="1"/>
    <col min="11" max="13" width="8.7109375" customWidth="1"/>
    <col min="14" max="14" width="9.140625" hidden="1" customWidth="1"/>
    <col min="15" max="21" width="10" hidden="1" customWidth="1"/>
    <col min="22" max="16384" width="9.140625" hidden="1"/>
  </cols>
  <sheetData>
    <row r="1" spans="1:14" ht="27" customHeight="1" x14ac:dyDescent="0.25">
      <c r="A1" s="329" t="s">
        <v>18</v>
      </c>
      <c r="B1" s="215"/>
      <c r="C1" s="215"/>
      <c r="D1" s="215"/>
      <c r="E1" s="215"/>
      <c r="F1" s="215"/>
      <c r="G1" s="210"/>
      <c r="H1" s="329"/>
      <c r="I1" s="215"/>
      <c r="J1" s="215"/>
      <c r="K1" s="215"/>
      <c r="L1" s="215"/>
      <c r="M1" s="215"/>
      <c r="N1" s="42"/>
    </row>
    <row r="2" spans="1:14" s="42" customFormat="1" ht="15" customHeight="1" x14ac:dyDescent="0.25">
      <c r="A2" s="53"/>
      <c r="B2" s="54"/>
      <c r="C2" s="54"/>
      <c r="D2" s="54"/>
      <c r="E2" s="54"/>
      <c r="F2" s="53"/>
      <c r="G2" s="53"/>
      <c r="H2" s="1426" t="s">
        <v>544</v>
      </c>
      <c r="I2" s="1426"/>
      <c r="J2" s="1426"/>
      <c r="K2" s="239" t="s">
        <v>62</v>
      </c>
      <c r="L2" s="239" t="s">
        <v>77</v>
      </c>
      <c r="M2" s="239"/>
    </row>
    <row r="3" spans="1:14" s="42" customFormat="1" ht="15" customHeight="1" x14ac:dyDescent="0.25">
      <c r="A3" s="53"/>
      <c r="B3" s="54"/>
      <c r="C3" s="54"/>
      <c r="D3" s="54"/>
      <c r="E3" s="54"/>
      <c r="F3" s="53"/>
      <c r="G3" s="53"/>
      <c r="H3" s="1426"/>
      <c r="I3" s="1426"/>
      <c r="J3" s="1426"/>
      <c r="K3" s="239" t="s">
        <v>70</v>
      </c>
      <c r="L3" s="239" t="s">
        <v>81</v>
      </c>
      <c r="M3" s="239" t="s">
        <v>79</v>
      </c>
    </row>
    <row r="4" spans="1:14" s="42" customFormat="1" ht="15" customHeight="1" x14ac:dyDescent="0.25">
      <c r="A4" s="53"/>
      <c r="B4" s="54"/>
      <c r="C4" s="54"/>
      <c r="D4" s="54"/>
      <c r="E4" s="54"/>
      <c r="F4" s="53"/>
      <c r="G4" s="53"/>
      <c r="H4" s="1427"/>
      <c r="I4" s="1427"/>
      <c r="J4" s="1427"/>
      <c r="K4" s="239" t="s">
        <v>73</v>
      </c>
      <c r="L4" s="239" t="s">
        <v>102</v>
      </c>
      <c r="M4" s="240"/>
    </row>
    <row r="5" spans="1:14" s="42" customFormat="1" ht="21" customHeight="1" x14ac:dyDescent="0.25">
      <c r="A5" s="1417" t="s">
        <v>2407</v>
      </c>
      <c r="B5" s="1418"/>
      <c r="C5" s="1418"/>
      <c r="D5" s="1418"/>
      <c r="E5" s="1418"/>
      <c r="F5" s="1418"/>
      <c r="G5" s="1418"/>
      <c r="H5" s="1418"/>
      <c r="I5" s="1418"/>
      <c r="J5" s="1418"/>
      <c r="K5" s="1418"/>
      <c r="L5" s="1418"/>
      <c r="M5" s="1419"/>
    </row>
    <row r="6" spans="1:14" s="42" customFormat="1" ht="21" customHeight="1" x14ac:dyDescent="0.25">
      <c r="A6" s="1420"/>
      <c r="B6" s="1421"/>
      <c r="C6" s="1421"/>
      <c r="D6" s="1421"/>
      <c r="E6" s="1421"/>
      <c r="F6" s="1421"/>
      <c r="G6" s="1421"/>
      <c r="H6" s="1421"/>
      <c r="I6" s="1421"/>
      <c r="J6" s="1421"/>
      <c r="K6" s="1421"/>
      <c r="L6" s="1421"/>
      <c r="M6" s="1422"/>
    </row>
    <row r="7" spans="1:14" s="42" customFormat="1" ht="21" customHeight="1" x14ac:dyDescent="0.25">
      <c r="A7" s="1423"/>
      <c r="B7" s="1424"/>
      <c r="C7" s="1424"/>
      <c r="D7" s="1424"/>
      <c r="E7" s="1424"/>
      <c r="F7" s="1424"/>
      <c r="G7" s="1424"/>
      <c r="H7" s="1424"/>
      <c r="I7" s="1424"/>
      <c r="J7" s="1424"/>
      <c r="K7" s="1424"/>
      <c r="L7" s="1424"/>
      <c r="M7" s="1425"/>
    </row>
    <row r="8" spans="1:14" s="42" customFormat="1" ht="12" customHeight="1" x14ac:dyDescent="0.25">
      <c r="A8" s="53"/>
      <c r="B8" s="54"/>
      <c r="C8" s="54"/>
      <c r="D8" s="54"/>
      <c r="E8" s="54"/>
      <c r="F8" s="53"/>
      <c r="G8" s="53"/>
      <c r="H8" s="53"/>
      <c r="I8" s="53"/>
      <c r="J8" s="53"/>
      <c r="K8" s="53"/>
      <c r="L8" s="53"/>
      <c r="M8" s="53"/>
    </row>
    <row r="9" spans="1:14" s="42" customFormat="1" ht="18" customHeight="1" x14ac:dyDescent="0.25">
      <c r="A9" s="1432" t="s">
        <v>191</v>
      </c>
      <c r="B9" s="1432"/>
      <c r="C9" s="1432"/>
      <c r="D9" s="1432"/>
      <c r="E9" s="1432"/>
      <c r="F9" s="1432"/>
      <c r="G9" s="1432"/>
      <c r="H9" s="1432"/>
      <c r="I9" s="1432"/>
      <c r="J9" s="1432"/>
      <c r="K9" s="1432"/>
      <c r="L9" s="1432"/>
      <c r="M9" s="1432"/>
    </row>
    <row r="10" spans="1:14" s="42" customFormat="1" ht="13.5" customHeight="1" x14ac:dyDescent="0.25">
      <c r="A10" s="53"/>
      <c r="B10" s="54"/>
      <c r="C10" s="54"/>
      <c r="D10" s="54"/>
      <c r="E10" s="54"/>
      <c r="F10" s="53"/>
      <c r="G10" s="53"/>
      <c r="H10" s="53"/>
      <c r="I10" s="53"/>
      <c r="J10" s="53"/>
      <c r="K10" s="53"/>
      <c r="L10" s="53"/>
      <c r="M10" s="53"/>
    </row>
    <row r="11" spans="1:14" s="42" customFormat="1" ht="16.5" customHeight="1" x14ac:dyDescent="0.25">
      <c r="A11" s="53"/>
      <c r="B11" s="1477" t="s">
        <v>247</v>
      </c>
      <c r="C11" s="1478"/>
      <c r="D11" s="270" t="s">
        <v>129</v>
      </c>
      <c r="E11" s="54"/>
      <c r="F11" s="53"/>
      <c r="G11" s="53"/>
      <c r="H11" s="53"/>
      <c r="I11" s="53"/>
      <c r="J11" s="53"/>
      <c r="K11" s="53"/>
      <c r="L11" s="53"/>
      <c r="M11" s="53"/>
    </row>
    <row r="12" spans="1:14" s="42" customFormat="1" ht="13.5" customHeight="1" x14ac:dyDescent="0.25">
      <c r="A12" s="53"/>
      <c r="B12" s="54"/>
      <c r="C12" s="54"/>
      <c r="D12" s="54"/>
      <c r="E12" s="54"/>
      <c r="F12" s="53"/>
      <c r="G12" s="53"/>
      <c r="H12" s="53"/>
      <c r="I12" s="53"/>
      <c r="J12" s="53"/>
      <c r="K12" s="53"/>
      <c r="L12" s="53"/>
      <c r="M12" s="53"/>
    </row>
    <row r="13" spans="1:14" s="42" customFormat="1" ht="19.5" customHeight="1" x14ac:dyDescent="0.25">
      <c r="A13" s="53"/>
      <c r="B13" s="1428" t="s">
        <v>207</v>
      </c>
      <c r="C13" s="1429"/>
      <c r="D13" s="1429"/>
      <c r="E13" s="1429"/>
      <c r="F13" s="485" t="s">
        <v>157</v>
      </c>
      <c r="G13" s="485" t="s">
        <v>56</v>
      </c>
      <c r="H13" s="98" t="s">
        <v>521</v>
      </c>
      <c r="I13" s="53"/>
      <c r="J13" s="53"/>
      <c r="K13" s="53"/>
      <c r="L13" s="53"/>
      <c r="M13" s="53"/>
    </row>
    <row r="14" spans="1:14" s="42" customFormat="1" ht="51" customHeight="1" x14ac:dyDescent="0.25">
      <c r="A14" s="53"/>
      <c r="B14" s="1474" t="s">
        <v>997</v>
      </c>
      <c r="C14" s="1475" t="s">
        <v>246</v>
      </c>
      <c r="D14" s="1475" t="s">
        <v>246</v>
      </c>
      <c r="E14" s="1476" t="s">
        <v>246</v>
      </c>
      <c r="F14" s="59">
        <v>1</v>
      </c>
      <c r="G14" s="267" t="str">
        <f>C59</f>
        <v>/</v>
      </c>
      <c r="H14" s="59" t="str">
        <f>C60</f>
        <v>/</v>
      </c>
      <c r="I14" s="53"/>
      <c r="J14" s="53"/>
      <c r="K14" s="53"/>
      <c r="L14" s="53"/>
      <c r="M14" s="53"/>
      <c r="N14" s="42" t="str">
        <f>IF(G14="","No",IF(G14&gt;0,IF(H14="No","No","Yes"),"Yes"))</f>
        <v>Yes</v>
      </c>
    </row>
    <row r="15" spans="1:14" s="42" customFormat="1" ht="51" customHeight="1" x14ac:dyDescent="0.25">
      <c r="A15" s="53"/>
      <c r="B15" s="1479" t="s">
        <v>998</v>
      </c>
      <c r="C15" s="1480" t="s">
        <v>245</v>
      </c>
      <c r="D15" s="1480" t="s">
        <v>245</v>
      </c>
      <c r="E15" s="1481" t="s">
        <v>245</v>
      </c>
      <c r="F15" s="59">
        <v>1</v>
      </c>
      <c r="G15" s="267" t="str">
        <f>C93</f>
        <v>/</v>
      </c>
      <c r="H15" s="59" t="str">
        <f>C94</f>
        <v>/</v>
      </c>
      <c r="I15" s="53"/>
      <c r="J15" s="53"/>
      <c r="K15" s="53"/>
      <c r="L15" s="53"/>
      <c r="M15" s="53"/>
      <c r="N15" s="42" t="str">
        <f t="shared" ref="N15:N17" si="0">IF(G15="","No",IF(G15&gt;0,IF(H15="No","No","Yes"),"Yes"))</f>
        <v>Yes</v>
      </c>
    </row>
    <row r="16" spans="1:14" s="42" customFormat="1" ht="39" customHeight="1" x14ac:dyDescent="0.25">
      <c r="A16" s="53"/>
      <c r="B16" s="1479" t="s">
        <v>1939</v>
      </c>
      <c r="C16" s="1480" t="s">
        <v>243</v>
      </c>
      <c r="D16" s="1480" t="s">
        <v>243</v>
      </c>
      <c r="E16" s="1481" t="s">
        <v>243</v>
      </c>
      <c r="F16" s="59">
        <v>1</v>
      </c>
      <c r="G16" s="267" t="str">
        <f>C126</f>
        <v>/</v>
      </c>
      <c r="H16" s="59" t="str">
        <f>C127</f>
        <v>/</v>
      </c>
      <c r="I16" s="53"/>
      <c r="J16" s="53"/>
      <c r="K16" s="53"/>
      <c r="L16" s="53"/>
      <c r="M16" s="53"/>
      <c r="N16" s="42" t="str">
        <f t="shared" si="0"/>
        <v>Yes</v>
      </c>
    </row>
    <row r="17" spans="1:14" s="42" customFormat="1" ht="27.75" customHeight="1" x14ac:dyDescent="0.25">
      <c r="A17" s="53"/>
      <c r="B17" s="1479" t="s">
        <v>999</v>
      </c>
      <c r="C17" s="1480" t="s">
        <v>244</v>
      </c>
      <c r="D17" s="1480" t="s">
        <v>244</v>
      </c>
      <c r="E17" s="1481" t="s">
        <v>244</v>
      </c>
      <c r="F17" s="59">
        <v>1</v>
      </c>
      <c r="G17" s="267" t="str">
        <f>C167</f>
        <v>/</v>
      </c>
      <c r="H17" s="59" t="str">
        <f>C168</f>
        <v>/</v>
      </c>
      <c r="I17" s="53"/>
      <c r="J17" s="53"/>
      <c r="K17" s="53"/>
      <c r="L17" s="53"/>
      <c r="M17" s="53"/>
      <c r="N17" s="42" t="str">
        <f t="shared" si="0"/>
        <v>Yes</v>
      </c>
    </row>
    <row r="18" spans="1:14" s="42" customFormat="1" ht="19.5" customHeight="1" x14ac:dyDescent="0.25">
      <c r="A18" s="53"/>
      <c r="B18" s="1433" t="s">
        <v>82</v>
      </c>
      <c r="C18" s="1434" t="s">
        <v>244</v>
      </c>
      <c r="D18" s="1434" t="s">
        <v>244</v>
      </c>
      <c r="E18" s="1435" t="s">
        <v>244</v>
      </c>
      <c r="F18" s="702">
        <v>4</v>
      </c>
      <c r="G18" s="702">
        <f>MIN(4,SUM(G14:G17))</f>
        <v>0</v>
      </c>
      <c r="H18" s="702" t="str">
        <f>IF(COUNTIF(H14:H17,"No")+COUNTIF(H14:H17,"/")=4,"No",IF(COUNTIF(O14:O17,"Yes")=4,"Yes","No"))</f>
        <v>No</v>
      </c>
      <c r="I18" s="53"/>
      <c r="J18" s="53"/>
      <c r="K18" s="53"/>
      <c r="L18" s="53"/>
      <c r="M18" s="53"/>
      <c r="N18" s="53"/>
    </row>
    <row r="19" spans="1:14" s="42" customFormat="1" ht="18" customHeight="1" x14ac:dyDescent="0.25">
      <c r="A19" s="53"/>
      <c r="B19" s="54"/>
      <c r="C19" s="54"/>
      <c r="D19" s="54"/>
      <c r="E19" s="54"/>
      <c r="F19" s="53"/>
      <c r="G19" s="53"/>
      <c r="H19" s="53" t="s">
        <v>784</v>
      </c>
      <c r="I19" s="53"/>
      <c r="J19" s="53"/>
      <c r="K19" s="53"/>
      <c r="L19" s="53"/>
      <c r="M19" s="53"/>
      <c r="N19" s="53"/>
    </row>
    <row r="20" spans="1:14" s="42" customFormat="1" ht="19.5" customHeight="1" x14ac:dyDescent="0.25">
      <c r="A20" s="53"/>
      <c r="B20" s="1428" t="s">
        <v>206</v>
      </c>
      <c r="C20" s="1429"/>
      <c r="D20" s="1429"/>
      <c r="E20" s="1429"/>
      <c r="F20" s="485" t="s">
        <v>157</v>
      </c>
      <c r="G20" s="485" t="s">
        <v>56</v>
      </c>
      <c r="H20" s="98" t="s">
        <v>521</v>
      </c>
      <c r="I20" s="53"/>
      <c r="J20" s="53"/>
      <c r="K20" s="53"/>
      <c r="L20" s="53"/>
      <c r="M20" s="53"/>
      <c r="N20" s="53"/>
    </row>
    <row r="21" spans="1:14" s="42" customFormat="1" ht="42" customHeight="1" x14ac:dyDescent="0.25">
      <c r="A21" s="53"/>
      <c r="B21" s="1479" t="s">
        <v>254</v>
      </c>
      <c r="C21" s="1480"/>
      <c r="D21" s="1480"/>
      <c r="E21" s="1481"/>
      <c r="F21" s="59">
        <v>2</v>
      </c>
      <c r="G21" s="267" t="str">
        <f>C206</f>
        <v>/</v>
      </c>
      <c r="H21" s="59" t="str">
        <f>C207</f>
        <v>/</v>
      </c>
      <c r="I21" s="53"/>
      <c r="J21" s="53"/>
      <c r="K21" s="53"/>
      <c r="L21" s="53"/>
      <c r="M21" s="53"/>
      <c r="N21" s="42" t="str">
        <f>IF(G21="","No",IF(G21&gt;0,IF(H21="No","No","Yes"),"Yes"))</f>
        <v>Yes</v>
      </c>
    </row>
    <row r="22" spans="1:14" s="42" customFormat="1" ht="42" customHeight="1" x14ac:dyDescent="0.25">
      <c r="A22" s="53"/>
      <c r="B22" s="1479" t="s">
        <v>255</v>
      </c>
      <c r="C22" s="1480" t="s">
        <v>111</v>
      </c>
      <c r="D22" s="1480" t="s">
        <v>111</v>
      </c>
      <c r="E22" s="1481" t="s">
        <v>111</v>
      </c>
      <c r="F22" s="59">
        <v>2</v>
      </c>
      <c r="G22" s="267" t="str">
        <f>C258</f>
        <v>/</v>
      </c>
      <c r="H22" s="59" t="str">
        <f>C259</f>
        <v>/</v>
      </c>
      <c r="I22" s="53"/>
      <c r="J22" s="53"/>
      <c r="K22" s="53"/>
      <c r="L22" s="53"/>
      <c r="M22" s="53"/>
      <c r="N22" s="42" t="str">
        <f t="shared" ref="N22:N23" si="1">IF(G22="","No",IF(G22&gt;0,IF(H22="No","No","Yes"),"Yes"))</f>
        <v>Yes</v>
      </c>
    </row>
    <row r="23" spans="1:14" s="42" customFormat="1" ht="32.25" customHeight="1" x14ac:dyDescent="0.25">
      <c r="A23" s="53"/>
      <c r="B23" s="1479" t="s">
        <v>963</v>
      </c>
      <c r="C23" s="1480" t="s">
        <v>118</v>
      </c>
      <c r="D23" s="1480" t="s">
        <v>118</v>
      </c>
      <c r="E23" s="1481" t="s">
        <v>118</v>
      </c>
      <c r="F23" s="59">
        <v>1</v>
      </c>
      <c r="G23" s="267" t="str">
        <f>C299</f>
        <v>/</v>
      </c>
      <c r="H23" s="59" t="str">
        <f>C300</f>
        <v>/</v>
      </c>
      <c r="I23" s="53"/>
      <c r="J23" s="53"/>
      <c r="K23" s="53"/>
      <c r="L23" s="53"/>
      <c r="M23" s="53"/>
      <c r="N23" s="42" t="str">
        <f t="shared" si="1"/>
        <v>Yes</v>
      </c>
    </row>
    <row r="24" spans="1:14" s="42" customFormat="1" ht="19.5" customHeight="1" x14ac:dyDescent="0.25">
      <c r="A24" s="53"/>
      <c r="B24" s="1433" t="s">
        <v>82</v>
      </c>
      <c r="C24" s="1434" t="s">
        <v>244</v>
      </c>
      <c r="D24" s="1434" t="s">
        <v>244</v>
      </c>
      <c r="E24" s="1435" t="s">
        <v>244</v>
      </c>
      <c r="F24" s="702">
        <v>4</v>
      </c>
      <c r="G24" s="702">
        <f>MIN(4,SUM(G21:G23))</f>
        <v>0</v>
      </c>
      <c r="H24" s="702" t="str">
        <f>IF(COUNTIF(H21:H23,"No")+COUNTIF(H21:H23,"/")=3,"No",IF(COUNTIF(O21:O23,"Yes")=3,"Yes","No"))</f>
        <v>No</v>
      </c>
      <c r="I24" s="53"/>
      <c r="J24" s="53"/>
      <c r="K24" s="53"/>
      <c r="L24" s="53"/>
      <c r="M24" s="53"/>
      <c r="N24" s="53"/>
    </row>
    <row r="25" spans="1:14" s="42" customFormat="1" ht="16.5" customHeight="1" x14ac:dyDescent="0.25">
      <c r="A25" s="53"/>
      <c r="B25" s="53"/>
      <c r="C25" s="53"/>
      <c r="D25" s="53"/>
      <c r="E25" s="53"/>
      <c r="F25" s="53"/>
      <c r="G25" s="53"/>
      <c r="H25" s="53"/>
      <c r="I25" s="53"/>
      <c r="J25" s="53"/>
      <c r="K25" s="53"/>
      <c r="L25" s="53"/>
      <c r="M25" s="53"/>
      <c r="N25" s="53"/>
    </row>
    <row r="26" spans="1:14" ht="18" customHeight="1" x14ac:dyDescent="0.25">
      <c r="A26" s="1432" t="s">
        <v>16</v>
      </c>
      <c r="B26" s="1432"/>
      <c r="C26" s="1432"/>
      <c r="D26" s="1432"/>
      <c r="E26" s="1432"/>
      <c r="F26" s="1432"/>
      <c r="G26" s="1432"/>
      <c r="H26" s="1432"/>
      <c r="I26" s="1432"/>
      <c r="J26" s="1432"/>
      <c r="K26" s="1432"/>
      <c r="L26" s="1432"/>
      <c r="M26" s="1432"/>
      <c r="N26" s="97"/>
    </row>
    <row r="27" spans="1:14" ht="18" customHeight="1" x14ac:dyDescent="0.25">
      <c r="A27" s="254"/>
      <c r="B27" s="254"/>
      <c r="C27" s="254"/>
      <c r="D27" s="254"/>
      <c r="E27" s="254"/>
      <c r="F27" s="254"/>
      <c r="G27" s="254"/>
      <c r="H27" s="254"/>
      <c r="I27" s="254"/>
      <c r="J27" s="254"/>
      <c r="K27" s="254"/>
      <c r="L27" s="254"/>
      <c r="M27" s="254"/>
      <c r="N27" s="4"/>
    </row>
    <row r="28" spans="1:14" ht="18" customHeight="1" x14ac:dyDescent="0.25">
      <c r="A28" s="254"/>
      <c r="B28" s="254"/>
      <c r="C28" s="254"/>
      <c r="D28" s="254"/>
      <c r="E28" s="254"/>
      <c r="F28" s="254"/>
      <c r="G28" s="254"/>
      <c r="H28" s="254"/>
      <c r="I28" s="254"/>
      <c r="J28" s="254"/>
      <c r="K28" s="254"/>
      <c r="L28" s="254"/>
      <c r="M28" s="254"/>
      <c r="N28" s="4"/>
    </row>
    <row r="29" spans="1:14" ht="18" customHeight="1" x14ac:dyDescent="0.25">
      <c r="A29" s="254"/>
      <c r="B29" s="254"/>
      <c r="C29" s="254"/>
      <c r="D29" s="254"/>
      <c r="E29" s="254"/>
      <c r="F29" s="254"/>
      <c r="G29" s="254"/>
      <c r="H29" s="254"/>
      <c r="I29" s="254"/>
      <c r="J29" s="254"/>
      <c r="K29" s="254"/>
      <c r="L29" s="254"/>
      <c r="M29" s="254"/>
      <c r="N29" s="4"/>
    </row>
    <row r="30" spans="1:14" s="42" customFormat="1" ht="18" customHeight="1" x14ac:dyDescent="0.25">
      <c r="A30" s="1410" t="s">
        <v>774</v>
      </c>
      <c r="B30" s="1410"/>
      <c r="C30" s="1410"/>
      <c r="D30" s="1410"/>
      <c r="E30" s="1410"/>
      <c r="F30" s="1410"/>
      <c r="G30" s="1410"/>
      <c r="H30" s="1410"/>
      <c r="I30" s="1410"/>
      <c r="J30" s="1410"/>
      <c r="K30" s="1410"/>
      <c r="L30" s="1410"/>
      <c r="M30" s="1410"/>
      <c r="N30" s="100"/>
    </row>
    <row r="31" spans="1:14" s="42" customFormat="1" x14ac:dyDescent="0.25">
      <c r="A31" s="254"/>
      <c r="B31" s="254"/>
      <c r="C31" s="254"/>
      <c r="D31" s="254"/>
      <c r="E31" s="254"/>
      <c r="F31" s="254"/>
      <c r="G31" s="254"/>
      <c r="H31" s="254"/>
      <c r="I31" s="254"/>
      <c r="J31" s="254"/>
      <c r="K31" s="254"/>
      <c r="L31" s="254"/>
      <c r="M31" s="254"/>
      <c r="N31" s="53"/>
    </row>
    <row r="32" spans="1:14" s="42" customFormat="1" x14ac:dyDescent="0.25">
      <c r="A32" s="1410" t="s">
        <v>265</v>
      </c>
      <c r="B32" s="1410"/>
      <c r="C32" s="1410"/>
      <c r="D32" s="254"/>
      <c r="E32" s="254"/>
      <c r="F32" s="254"/>
      <c r="G32" s="254"/>
      <c r="H32" s="254"/>
      <c r="I32" s="254"/>
      <c r="J32" s="254"/>
      <c r="K32" s="254"/>
      <c r="L32" s="254"/>
      <c r="M32" s="254"/>
      <c r="N32" s="53"/>
    </row>
    <row r="33" spans="1:18" s="42" customFormat="1" x14ac:dyDescent="0.25">
      <c r="A33" s="254"/>
      <c r="B33" s="254"/>
      <c r="C33" s="254"/>
      <c r="D33" s="254"/>
      <c r="E33" s="254"/>
      <c r="F33" s="254"/>
      <c r="G33" s="254"/>
      <c r="H33" s="254"/>
      <c r="I33" s="254"/>
      <c r="J33" s="254"/>
      <c r="K33" s="254"/>
      <c r="L33" s="254"/>
      <c r="M33" s="254"/>
      <c r="N33" s="53"/>
    </row>
    <row r="34" spans="1:18" s="42" customFormat="1" x14ac:dyDescent="0.25">
      <c r="A34" s="254"/>
      <c r="B34" s="1495" t="s">
        <v>1506</v>
      </c>
      <c r="C34" s="1496"/>
      <c r="D34" s="1496"/>
      <c r="E34" s="1496"/>
      <c r="F34" s="1497"/>
      <c r="G34" s="254"/>
      <c r="H34" s="254"/>
      <c r="I34" s="254"/>
      <c r="J34" s="254"/>
      <c r="K34" s="254"/>
      <c r="L34" s="254"/>
      <c r="M34" s="254"/>
      <c r="N34" s="53"/>
    </row>
    <row r="35" spans="1:18" s="42" customFormat="1" x14ac:dyDescent="0.25">
      <c r="A35" s="254"/>
      <c r="B35" s="1482" t="s">
        <v>1324</v>
      </c>
      <c r="C35" s="1483"/>
      <c r="D35" s="1483"/>
      <c r="E35" s="1483"/>
      <c r="F35" s="1484"/>
      <c r="G35" s="254"/>
      <c r="H35" s="254"/>
      <c r="I35" s="254"/>
      <c r="J35" s="254"/>
      <c r="K35" s="254"/>
      <c r="L35" s="254"/>
      <c r="M35" s="254"/>
      <c r="N35" s="53"/>
    </row>
    <row r="36" spans="1:18" s="42" customFormat="1" x14ac:dyDescent="0.25">
      <c r="A36" s="254"/>
      <c r="B36" s="1482" t="s">
        <v>1513</v>
      </c>
      <c r="C36" s="1483"/>
      <c r="D36" s="1483"/>
      <c r="E36" s="1483"/>
      <c r="F36" s="1484"/>
      <c r="G36" s="254"/>
      <c r="H36" s="254"/>
      <c r="I36" s="254"/>
      <c r="J36" s="254"/>
      <c r="K36" s="254"/>
      <c r="L36" s="254"/>
      <c r="M36" s="254"/>
      <c r="N36" s="53"/>
    </row>
    <row r="37" spans="1:18" s="42" customFormat="1" x14ac:dyDescent="0.25">
      <c r="A37" s="254"/>
      <c r="B37" s="1482" t="s">
        <v>1325</v>
      </c>
      <c r="C37" s="1483"/>
      <c r="D37" s="1483"/>
      <c r="E37" s="1483"/>
      <c r="F37" s="1484"/>
      <c r="G37" s="254"/>
      <c r="H37" s="254"/>
      <c r="I37" s="254"/>
      <c r="J37" s="254"/>
      <c r="K37" s="254"/>
      <c r="L37" s="254"/>
      <c r="M37" s="254"/>
      <c r="N37" s="53"/>
    </row>
    <row r="38" spans="1:18" s="42" customFormat="1" x14ac:dyDescent="0.25">
      <c r="A38" s="254"/>
      <c r="B38" s="1485" t="s">
        <v>1326</v>
      </c>
      <c r="C38" s="1486"/>
      <c r="D38" s="1486"/>
      <c r="E38" s="1486"/>
      <c r="F38" s="1487"/>
      <c r="G38" s="254"/>
      <c r="H38" s="254"/>
      <c r="I38" s="254"/>
      <c r="J38" s="254"/>
      <c r="K38" s="254"/>
      <c r="L38" s="254"/>
      <c r="M38" s="254"/>
      <c r="N38" s="53"/>
    </row>
    <row r="39" spans="1:18" s="42" customFormat="1" x14ac:dyDescent="0.25">
      <c r="A39" s="254"/>
      <c r="B39" s="254"/>
      <c r="C39" s="254"/>
      <c r="D39" s="254"/>
      <c r="E39" s="254"/>
      <c r="F39" s="254"/>
      <c r="G39" s="254"/>
      <c r="H39" s="254"/>
      <c r="I39" s="254"/>
      <c r="J39" s="254"/>
      <c r="K39" s="254"/>
      <c r="L39" s="254"/>
      <c r="M39" s="254"/>
      <c r="N39" s="53"/>
    </row>
    <row r="40" spans="1:18" s="42" customFormat="1" ht="16.5" customHeight="1" x14ac:dyDescent="0.25">
      <c r="A40" s="254"/>
      <c r="B40" s="692" t="s">
        <v>1102</v>
      </c>
      <c r="C40" s="254"/>
      <c r="D40" s="254"/>
      <c r="E40" s="254"/>
      <c r="F40" s="254"/>
      <c r="G40" s="254"/>
      <c r="H40" s="254"/>
      <c r="I40" s="254"/>
      <c r="J40" s="254"/>
      <c r="K40" s="254"/>
      <c r="L40" s="254"/>
      <c r="M40" s="254"/>
      <c r="N40" s="53"/>
    </row>
    <row r="41" spans="1:18" s="42" customFormat="1" ht="9" customHeight="1" x14ac:dyDescent="0.25">
      <c r="A41" s="254"/>
      <c r="B41" s="256"/>
      <c r="C41" s="254"/>
      <c r="D41" s="254"/>
      <c r="E41" s="254"/>
      <c r="F41" s="254"/>
      <c r="G41" s="254"/>
      <c r="H41" s="254"/>
      <c r="I41" s="254"/>
      <c r="J41" s="254"/>
      <c r="K41" s="254"/>
      <c r="L41" s="254"/>
      <c r="M41" s="254"/>
      <c r="N41" s="53"/>
    </row>
    <row r="42" spans="1:18" s="42" customFormat="1" ht="27" customHeight="1" x14ac:dyDescent="0.25">
      <c r="A42" s="254"/>
      <c r="B42" s="562" t="s">
        <v>1094</v>
      </c>
      <c r="C42" s="1440" t="s">
        <v>1097</v>
      </c>
      <c r="D42" s="1440"/>
      <c r="E42" s="1440" t="s">
        <v>33</v>
      </c>
      <c r="F42" s="1469"/>
      <c r="G42" s="254"/>
      <c r="H42" s="254"/>
      <c r="I42" s="254"/>
      <c r="J42" s="254"/>
      <c r="K42" s="254"/>
      <c r="L42" s="254"/>
      <c r="M42" s="254"/>
      <c r="N42" s="53"/>
      <c r="O42" s="42" t="s">
        <v>129</v>
      </c>
    </row>
    <row r="43" spans="1:18" s="42" customFormat="1" ht="16.5" customHeight="1" x14ac:dyDescent="0.25">
      <c r="A43" s="254"/>
      <c r="B43" s="566"/>
      <c r="C43" s="1470" t="s">
        <v>129</v>
      </c>
      <c r="D43" s="1470"/>
      <c r="E43" s="1470"/>
      <c r="F43" s="1470"/>
      <c r="G43" s="254"/>
      <c r="H43" s="254"/>
      <c r="I43" s="254"/>
      <c r="J43" s="254"/>
      <c r="K43" s="254"/>
      <c r="L43" s="254"/>
      <c r="M43" s="254"/>
      <c r="N43" s="53" t="str">
        <f>IF(AND(C43&lt;&gt;"Select",C43&lt;&gt;"",C43&lt;&gt;"other materials"),"Yes","No")</f>
        <v>No</v>
      </c>
      <c r="O43" s="581" t="s">
        <v>553</v>
      </c>
    </row>
    <row r="44" spans="1:18" s="42" customFormat="1" ht="16.5" customHeight="1" x14ac:dyDescent="0.25">
      <c r="A44" s="254"/>
      <c r="B44" s="565"/>
      <c r="C44" s="1470" t="s">
        <v>129</v>
      </c>
      <c r="D44" s="1470"/>
      <c r="E44" s="1470"/>
      <c r="F44" s="1470"/>
      <c r="G44" s="254"/>
      <c r="H44" s="254"/>
      <c r="I44" s="254"/>
      <c r="J44" s="254"/>
      <c r="K44" s="254"/>
      <c r="L44" s="254"/>
      <c r="M44" s="254"/>
      <c r="N44" s="53" t="str">
        <f>IF(AND(C44&lt;&gt;"Select",C44&lt;&gt;"",C44&lt;&gt;"other materials"),"Yes","No")</f>
        <v>No</v>
      </c>
      <c r="O44" s="581" t="s">
        <v>1095</v>
      </c>
    </row>
    <row r="45" spans="1:18" s="42" customFormat="1" ht="16.5" customHeight="1" x14ac:dyDescent="0.25">
      <c r="A45" s="254"/>
      <c r="B45" s="751"/>
      <c r="C45" s="1470" t="s">
        <v>129</v>
      </c>
      <c r="D45" s="1470"/>
      <c r="E45" s="1470"/>
      <c r="F45" s="1470"/>
      <c r="G45" s="254"/>
      <c r="H45" s="254"/>
      <c r="I45" s="254"/>
      <c r="J45" s="254"/>
      <c r="K45" s="254"/>
      <c r="L45" s="254"/>
      <c r="M45" s="254"/>
      <c r="N45" s="53" t="str">
        <f>IF(AND(C45&lt;&gt;"Select",C45&lt;&gt;"",C45&lt;&gt;"other materials"),"Yes","No")</f>
        <v>No</v>
      </c>
      <c r="O45" s="581" t="s">
        <v>552</v>
      </c>
    </row>
    <row r="46" spans="1:18" s="42" customFormat="1" ht="16.5" customHeight="1" x14ac:dyDescent="0.25">
      <c r="A46" s="254"/>
      <c r="B46" s="565"/>
      <c r="C46" s="1470" t="s">
        <v>129</v>
      </c>
      <c r="D46" s="1470"/>
      <c r="E46" s="1470"/>
      <c r="F46" s="1470"/>
      <c r="G46" s="254"/>
      <c r="H46" s="254"/>
      <c r="I46" s="254"/>
      <c r="J46" s="254"/>
      <c r="K46" s="254"/>
      <c r="L46" s="254"/>
      <c r="M46" s="254"/>
      <c r="N46" s="53" t="str">
        <f>IF(AND(C46&lt;&gt;"Select",C46&lt;&gt;"",C46&lt;&gt;"other materials"),"Yes","No")</f>
        <v>No</v>
      </c>
      <c r="O46" s="581" t="s">
        <v>1096</v>
      </c>
    </row>
    <row r="47" spans="1:18" s="42" customFormat="1" ht="18" customHeight="1" x14ac:dyDescent="0.25">
      <c r="A47" s="254"/>
      <c r="B47" s="565"/>
      <c r="C47" s="1470" t="s">
        <v>129</v>
      </c>
      <c r="D47" s="1470"/>
      <c r="E47" s="1470"/>
      <c r="F47" s="1470"/>
      <c r="G47" s="254"/>
      <c r="H47" s="254"/>
      <c r="I47" s="254"/>
      <c r="J47" s="254"/>
      <c r="K47" s="254"/>
      <c r="L47" s="254"/>
      <c r="M47" s="254"/>
      <c r="N47" s="53" t="str">
        <f>IF(AND(C47&lt;&gt;"Select",C47&lt;&gt;"",C47&lt;&gt;"other materials"),"Yes","No")</f>
        <v>No</v>
      </c>
      <c r="O47" s="581" t="s">
        <v>573</v>
      </c>
      <c r="P47" s="582"/>
      <c r="Q47" s="582"/>
    </row>
    <row r="48" spans="1:18" s="42" customFormat="1" ht="16.5" customHeight="1" x14ac:dyDescent="0.25">
      <c r="A48" s="254"/>
      <c r="B48" s="254"/>
      <c r="C48" s="254"/>
      <c r="D48" s="254"/>
      <c r="E48" s="254"/>
      <c r="F48" s="254"/>
      <c r="G48" s="254"/>
      <c r="H48" s="254"/>
      <c r="I48" s="254"/>
      <c r="J48" s="254"/>
      <c r="K48" s="254"/>
      <c r="L48" s="254"/>
      <c r="M48" s="254"/>
      <c r="N48" s="53"/>
      <c r="Q48" s="582"/>
      <c r="R48" s="582"/>
    </row>
    <row r="49" spans="1:14" s="42" customFormat="1" ht="18" customHeight="1" x14ac:dyDescent="0.25">
      <c r="A49" s="254"/>
      <c r="B49" s="1494" t="s">
        <v>776</v>
      </c>
      <c r="C49" s="1494"/>
      <c r="D49" s="235" t="str">
        <f>IF(COUNTIF(N43:N47,"Yes")&gt;0, IF(COUNTIF(C43:D47,"other materials")&gt;0,"No","Yes"),"No")</f>
        <v>No</v>
      </c>
      <c r="E49" s="254"/>
      <c r="F49" s="254"/>
      <c r="G49" s="254"/>
      <c r="H49" s="254"/>
      <c r="I49" s="254"/>
      <c r="J49" s="254"/>
      <c r="K49" s="254"/>
      <c r="L49" s="254"/>
      <c r="M49" s="254"/>
      <c r="N49" s="254"/>
    </row>
    <row r="50" spans="1:14" s="42" customFormat="1" x14ac:dyDescent="0.25">
      <c r="A50" s="254"/>
      <c r="B50" s="254"/>
      <c r="C50" s="254"/>
      <c r="D50" s="254"/>
      <c r="E50" s="254"/>
      <c r="F50" s="254"/>
      <c r="G50" s="254"/>
      <c r="H50" s="254"/>
      <c r="I50" s="254"/>
      <c r="J50" s="254"/>
      <c r="K50" s="254"/>
      <c r="L50" s="254"/>
      <c r="M50" s="254"/>
      <c r="N50" s="254"/>
    </row>
    <row r="51" spans="1:14" s="42" customFormat="1" ht="16.5" customHeight="1" x14ac:dyDescent="0.25">
      <c r="A51" s="1410" t="s">
        <v>200</v>
      </c>
      <c r="B51" s="1410"/>
      <c r="C51" s="1410"/>
      <c r="D51" s="254"/>
      <c r="E51" s="254"/>
      <c r="F51" s="254"/>
      <c r="G51" s="254"/>
      <c r="H51" s="254"/>
      <c r="I51" s="254"/>
      <c r="J51" s="254"/>
      <c r="K51" s="254"/>
      <c r="L51" s="254"/>
      <c r="M51" s="254"/>
      <c r="N51" s="53"/>
    </row>
    <row r="52" spans="1:14" s="42" customFormat="1" ht="15" customHeight="1" x14ac:dyDescent="0.25">
      <c r="A52" s="254"/>
      <c r="B52" s="254"/>
      <c r="C52" s="254"/>
      <c r="D52" s="254"/>
      <c r="E52" s="254"/>
      <c r="F52" s="254"/>
      <c r="G52" s="254"/>
      <c r="H52" s="254"/>
      <c r="I52" s="254"/>
      <c r="J52" s="254"/>
      <c r="K52" s="254"/>
      <c r="L52" s="254"/>
      <c r="M52" s="254"/>
      <c r="N52" s="53"/>
    </row>
    <row r="53" spans="1:14" s="42" customFormat="1" ht="18" customHeight="1" x14ac:dyDescent="0.25">
      <c r="A53" s="213"/>
      <c r="B53" s="1446" t="s">
        <v>2103</v>
      </c>
      <c r="C53" s="1447"/>
      <c r="D53" s="1447"/>
      <c r="E53" s="1447"/>
      <c r="F53" s="1447"/>
      <c r="G53" s="1045" t="s">
        <v>2101</v>
      </c>
      <c r="H53" s="1443" t="s">
        <v>2102</v>
      </c>
      <c r="I53" s="1444"/>
      <c r="J53" s="213"/>
      <c r="K53" s="213"/>
      <c r="L53" s="254"/>
      <c r="M53" s="254"/>
      <c r="N53" s="53"/>
    </row>
    <row r="54" spans="1:14" s="42" customFormat="1" ht="27" customHeight="1" x14ac:dyDescent="0.25">
      <c r="A54" s="213"/>
      <c r="B54" s="1436" t="s">
        <v>1514</v>
      </c>
      <c r="C54" s="1437"/>
      <c r="D54" s="1437"/>
      <c r="E54" s="1437"/>
      <c r="F54" s="1438"/>
      <c r="G54" s="331" t="s">
        <v>129</v>
      </c>
      <c r="H54" s="1441"/>
      <c r="I54" s="1442"/>
      <c r="J54" s="213"/>
      <c r="K54" s="213"/>
      <c r="L54" s="254"/>
      <c r="M54" s="254"/>
      <c r="N54" s="53"/>
    </row>
    <row r="55" spans="1:14" s="42" customFormat="1" ht="27" customHeight="1" x14ac:dyDescent="0.25">
      <c r="A55" s="213"/>
      <c r="B55" s="1436" t="s">
        <v>1610</v>
      </c>
      <c r="C55" s="1437"/>
      <c r="D55" s="1437"/>
      <c r="E55" s="1437"/>
      <c r="F55" s="1438"/>
      <c r="G55" s="751" t="s">
        <v>129</v>
      </c>
      <c r="H55" s="1441"/>
      <c r="I55" s="1442"/>
      <c r="J55" s="213"/>
      <c r="K55" s="213"/>
      <c r="L55" s="254"/>
      <c r="M55" s="254"/>
      <c r="N55" s="53"/>
    </row>
    <row r="56" spans="1:14" s="42" customFormat="1" ht="16.5" customHeight="1" x14ac:dyDescent="0.25">
      <c r="A56" s="213"/>
      <c r="B56" s="213"/>
      <c r="C56" s="213"/>
      <c r="D56" s="213"/>
      <c r="E56" s="213"/>
      <c r="F56" s="213"/>
      <c r="G56" s="213"/>
      <c r="H56" s="213"/>
      <c r="I56" s="213"/>
      <c r="J56" s="213"/>
      <c r="K56" s="213"/>
      <c r="L56" s="254"/>
      <c r="M56" s="254"/>
      <c r="N56" s="53"/>
    </row>
    <row r="57" spans="1:14" s="42" customFormat="1" ht="16.5" customHeight="1" x14ac:dyDescent="0.25">
      <c r="A57" s="1410" t="s">
        <v>25</v>
      </c>
      <c r="B57" s="1410"/>
      <c r="C57" s="1410"/>
      <c r="D57" s="213"/>
      <c r="E57" s="213"/>
      <c r="F57" s="213"/>
      <c r="G57" s="213"/>
      <c r="H57" s="213"/>
      <c r="I57" s="213"/>
      <c r="J57" s="213"/>
      <c r="K57" s="213"/>
      <c r="L57" s="254"/>
      <c r="M57" s="254"/>
      <c r="N57" s="53"/>
    </row>
    <row r="58" spans="1:14" s="42" customFormat="1" ht="15" customHeight="1" x14ac:dyDescent="0.25">
      <c r="A58" s="213"/>
      <c r="B58" s="213"/>
      <c r="C58" s="213"/>
      <c r="D58" s="213"/>
      <c r="E58" s="213"/>
      <c r="F58" s="213"/>
      <c r="G58" s="213"/>
      <c r="H58" s="213"/>
      <c r="I58" s="213"/>
      <c r="J58" s="213"/>
      <c r="K58" s="213"/>
      <c r="L58" s="254"/>
      <c r="M58" s="254"/>
      <c r="N58" s="53"/>
    </row>
    <row r="59" spans="1:14" s="42" customFormat="1" ht="18" customHeight="1" x14ac:dyDescent="0.25">
      <c r="A59" s="213"/>
      <c r="B59" s="192" t="s">
        <v>56</v>
      </c>
      <c r="C59" s="1190" t="str">
        <f>IF($D$11="Prescriptive Path",IF(D49="Yes",1,0),"/")</f>
        <v>/</v>
      </c>
      <c r="D59" s="213"/>
      <c r="E59" s="213"/>
      <c r="F59" s="213"/>
      <c r="G59" s="213"/>
      <c r="H59" s="213"/>
      <c r="I59" s="213"/>
      <c r="J59" s="213"/>
      <c r="K59" s="213"/>
      <c r="L59" s="254"/>
      <c r="M59" s="254"/>
      <c r="N59" s="53"/>
    </row>
    <row r="60" spans="1:14" s="42" customFormat="1" ht="18" customHeight="1" x14ac:dyDescent="0.25">
      <c r="A60" s="213"/>
      <c r="B60" s="192" t="s">
        <v>521</v>
      </c>
      <c r="C60" s="1190" t="str">
        <f>IF($D$11="Prescriptive Path",IF(AND(G54="Submitted",G55="Submitted",C59&gt;0),"Yes","No"),"/")</f>
        <v>/</v>
      </c>
      <c r="D60" s="213"/>
      <c r="E60" s="213"/>
      <c r="F60" s="213"/>
      <c r="G60" s="213"/>
      <c r="H60" s="213"/>
      <c r="I60" s="213"/>
      <c r="J60" s="213"/>
      <c r="K60" s="213"/>
      <c r="L60" s="254"/>
      <c r="M60" s="254"/>
      <c r="N60" s="53"/>
    </row>
    <row r="61" spans="1:14" s="42" customFormat="1" ht="12" customHeight="1" x14ac:dyDescent="0.25">
      <c r="A61" s="213"/>
      <c r="B61" s="213"/>
      <c r="C61" s="213"/>
      <c r="D61" s="213"/>
      <c r="E61" s="213"/>
      <c r="F61" s="213"/>
      <c r="G61" s="213"/>
      <c r="H61" s="213"/>
      <c r="I61" s="213"/>
      <c r="J61" s="213"/>
      <c r="K61" s="213"/>
      <c r="L61" s="254"/>
      <c r="M61" s="254"/>
      <c r="N61" s="53"/>
    </row>
    <row r="62" spans="1:14" s="42" customFormat="1" ht="12" customHeight="1" x14ac:dyDescent="0.25">
      <c r="A62" s="254"/>
      <c r="B62" s="254"/>
      <c r="C62" s="254"/>
      <c r="D62" s="254"/>
      <c r="E62" s="254"/>
      <c r="F62" s="254"/>
      <c r="G62" s="254"/>
      <c r="H62" s="254"/>
      <c r="I62" s="254"/>
      <c r="J62" s="254"/>
      <c r="K62" s="254"/>
      <c r="L62" s="254"/>
      <c r="M62" s="254"/>
      <c r="N62" s="254"/>
    </row>
    <row r="63" spans="1:14" s="42" customFormat="1" ht="18" customHeight="1" x14ac:dyDescent="0.25">
      <c r="A63" s="1410" t="s">
        <v>773</v>
      </c>
      <c r="B63" s="1410"/>
      <c r="C63" s="1410"/>
      <c r="D63" s="1410"/>
      <c r="E63" s="1410"/>
      <c r="F63" s="1410"/>
      <c r="G63" s="1410"/>
      <c r="H63" s="1410"/>
      <c r="I63" s="1410"/>
      <c r="J63" s="1410"/>
      <c r="K63" s="1410"/>
      <c r="L63" s="1410"/>
      <c r="M63" s="1410"/>
      <c r="N63" s="53"/>
    </row>
    <row r="64" spans="1:14" s="42" customFormat="1" x14ac:dyDescent="0.25">
      <c r="A64" s="213"/>
      <c r="B64" s="213"/>
      <c r="C64" s="213"/>
      <c r="D64" s="213"/>
      <c r="E64" s="213"/>
      <c r="F64" s="254"/>
      <c r="G64" s="254"/>
      <c r="H64" s="254"/>
      <c r="I64" s="254"/>
      <c r="J64" s="254"/>
      <c r="K64" s="254"/>
      <c r="L64" s="254"/>
      <c r="M64" s="254"/>
      <c r="N64" s="53"/>
    </row>
    <row r="65" spans="1:15" s="42" customFormat="1" ht="16.5" customHeight="1" x14ac:dyDescent="0.25">
      <c r="A65" s="1410" t="s">
        <v>265</v>
      </c>
      <c r="B65" s="1410"/>
      <c r="C65" s="1410"/>
      <c r="D65" s="254"/>
      <c r="E65" s="254"/>
      <c r="F65" s="254"/>
      <c r="G65" s="254"/>
      <c r="H65" s="254"/>
      <c r="I65" s="254"/>
      <c r="J65" s="254"/>
      <c r="K65" s="254"/>
      <c r="L65" s="254"/>
      <c r="M65" s="254"/>
      <c r="N65" s="53"/>
    </row>
    <row r="66" spans="1:15" s="42" customFormat="1" x14ac:dyDescent="0.25">
      <c r="A66" s="254"/>
      <c r="B66" s="254"/>
      <c r="C66" s="254"/>
      <c r="D66" s="254"/>
      <c r="E66" s="254"/>
      <c r="F66" s="254"/>
      <c r="G66" s="254"/>
      <c r="H66" s="254"/>
      <c r="I66" s="254"/>
      <c r="J66" s="254"/>
      <c r="K66" s="254"/>
      <c r="L66" s="254"/>
      <c r="M66" s="254"/>
      <c r="N66" s="53"/>
    </row>
    <row r="67" spans="1:15" s="42" customFormat="1" x14ac:dyDescent="0.25">
      <c r="A67" s="254"/>
      <c r="B67" s="1488" t="s">
        <v>1507</v>
      </c>
      <c r="C67" s="1489"/>
      <c r="D67" s="1489"/>
      <c r="E67" s="1489"/>
      <c r="F67" s="1489"/>
      <c r="G67" s="1489"/>
      <c r="H67" s="1490"/>
      <c r="I67" s="254"/>
      <c r="J67" s="254"/>
      <c r="K67" s="254"/>
      <c r="L67" s="254"/>
      <c r="M67" s="254"/>
      <c r="N67" s="53"/>
    </row>
    <row r="68" spans="1:15" s="42" customFormat="1" x14ac:dyDescent="0.25">
      <c r="A68" s="254"/>
      <c r="B68" s="1491" t="s">
        <v>1508</v>
      </c>
      <c r="C68" s="1492"/>
      <c r="D68" s="1492"/>
      <c r="E68" s="1492"/>
      <c r="F68" s="1492"/>
      <c r="G68" s="1492"/>
      <c r="H68" s="1493"/>
      <c r="I68" s="254"/>
      <c r="J68" s="254"/>
      <c r="K68" s="254"/>
      <c r="L68" s="254"/>
      <c r="M68" s="254"/>
      <c r="N68" s="53"/>
    </row>
    <row r="69" spans="1:15" s="42" customFormat="1" x14ac:dyDescent="0.25">
      <c r="A69" s="254"/>
      <c r="B69" s="1491" t="s">
        <v>1512</v>
      </c>
      <c r="C69" s="1492"/>
      <c r="D69" s="1492"/>
      <c r="E69" s="1492"/>
      <c r="F69" s="1492"/>
      <c r="G69" s="1492"/>
      <c r="H69" s="1493"/>
      <c r="I69" s="254"/>
      <c r="J69" s="254"/>
      <c r="K69" s="254"/>
      <c r="L69" s="254"/>
      <c r="M69" s="254"/>
      <c r="N69" s="53"/>
    </row>
    <row r="70" spans="1:15" s="42" customFormat="1" x14ac:dyDescent="0.25">
      <c r="A70" s="254"/>
      <c r="B70" s="1491" t="s">
        <v>1509</v>
      </c>
      <c r="C70" s="1492"/>
      <c r="D70" s="1492"/>
      <c r="E70" s="1492"/>
      <c r="F70" s="1492"/>
      <c r="G70" s="1492"/>
      <c r="H70" s="1493"/>
      <c r="I70" s="254"/>
      <c r="J70" s="254"/>
      <c r="K70" s="254"/>
      <c r="L70" s="254"/>
      <c r="M70" s="254"/>
      <c r="N70" s="53"/>
    </row>
    <row r="71" spans="1:15" s="42" customFormat="1" x14ac:dyDescent="0.25">
      <c r="A71" s="254"/>
      <c r="B71" s="1491" t="s">
        <v>1510</v>
      </c>
      <c r="C71" s="1492"/>
      <c r="D71" s="1492"/>
      <c r="E71" s="1492"/>
      <c r="F71" s="1492"/>
      <c r="G71" s="1492"/>
      <c r="H71" s="1493"/>
      <c r="I71" s="254"/>
      <c r="J71" s="254"/>
      <c r="K71" s="254"/>
      <c r="L71" s="254"/>
      <c r="M71" s="254"/>
      <c r="N71" s="53"/>
    </row>
    <row r="72" spans="1:15" s="42" customFormat="1" x14ac:dyDescent="0.25">
      <c r="A72" s="254"/>
      <c r="B72" s="1498" t="s">
        <v>1326</v>
      </c>
      <c r="C72" s="1499"/>
      <c r="D72" s="1499"/>
      <c r="E72" s="1499"/>
      <c r="F72" s="1499"/>
      <c r="G72" s="1499"/>
      <c r="H72" s="1500"/>
      <c r="I72" s="254"/>
      <c r="J72" s="254"/>
      <c r="K72" s="254"/>
      <c r="L72" s="254"/>
      <c r="M72" s="254"/>
      <c r="N72" s="53"/>
    </row>
    <row r="73" spans="1:15" s="42" customFormat="1" x14ac:dyDescent="0.25">
      <c r="A73" s="254"/>
      <c r="B73" s="254"/>
      <c r="C73" s="254"/>
      <c r="D73" s="254"/>
      <c r="E73" s="254"/>
      <c r="F73" s="254"/>
      <c r="G73" s="254"/>
      <c r="H73" s="254"/>
      <c r="I73" s="254"/>
      <c r="J73" s="254"/>
      <c r="K73" s="254"/>
      <c r="L73" s="254"/>
      <c r="M73" s="254"/>
      <c r="N73" s="53"/>
    </row>
    <row r="74" spans="1:15" s="42" customFormat="1" x14ac:dyDescent="0.25">
      <c r="A74" s="213"/>
      <c r="B74" s="692" t="s">
        <v>1103</v>
      </c>
      <c r="C74" s="213"/>
      <c r="D74" s="213"/>
      <c r="E74" s="213"/>
      <c r="F74" s="254"/>
      <c r="G74" s="254"/>
      <c r="H74" s="254"/>
      <c r="I74" s="254"/>
      <c r="J74" s="254"/>
      <c r="K74" s="254"/>
      <c r="L74" s="254"/>
      <c r="M74" s="254"/>
      <c r="N74" s="53"/>
    </row>
    <row r="75" spans="1:15" s="42" customFormat="1" ht="9" customHeight="1" x14ac:dyDescent="0.25">
      <c r="A75" s="254"/>
      <c r="B75" s="256"/>
      <c r="C75" s="254"/>
      <c r="D75" s="254"/>
      <c r="E75" s="254"/>
      <c r="F75" s="254"/>
      <c r="G75" s="254"/>
      <c r="H75" s="254"/>
      <c r="I75" s="254"/>
      <c r="J75" s="254"/>
      <c r="K75" s="254"/>
      <c r="L75" s="254"/>
      <c r="M75" s="254"/>
      <c r="N75" s="53"/>
      <c r="O75" s="42" t="s">
        <v>129</v>
      </c>
    </row>
    <row r="76" spans="1:15" s="42" customFormat="1" ht="18" customHeight="1" x14ac:dyDescent="0.25">
      <c r="A76" s="254"/>
      <c r="B76" s="562" t="s">
        <v>1101</v>
      </c>
      <c r="C76" s="1440" t="s">
        <v>1100</v>
      </c>
      <c r="D76" s="1440"/>
      <c r="E76" s="1440" t="s">
        <v>33</v>
      </c>
      <c r="F76" s="1469"/>
      <c r="G76" s="254"/>
      <c r="H76" s="254"/>
      <c r="I76" s="254"/>
      <c r="J76" s="254"/>
      <c r="K76" s="254"/>
      <c r="L76" s="254"/>
      <c r="M76" s="254"/>
      <c r="N76" s="53"/>
      <c r="O76" s="581" t="s">
        <v>1098</v>
      </c>
    </row>
    <row r="77" spans="1:15" s="42" customFormat="1" ht="16.5" customHeight="1" x14ac:dyDescent="0.25">
      <c r="A77" s="254"/>
      <c r="B77" s="566"/>
      <c r="C77" s="1470" t="s">
        <v>129</v>
      </c>
      <c r="D77" s="1470"/>
      <c r="E77" s="1470"/>
      <c r="F77" s="1470"/>
      <c r="G77" s="254"/>
      <c r="H77" s="254"/>
      <c r="I77" s="254"/>
      <c r="J77" s="254"/>
      <c r="K77" s="254"/>
      <c r="L77" s="254"/>
      <c r="M77" s="254"/>
      <c r="N77" s="53" t="str">
        <f>IF(AND(C77&lt;&gt;"Select",C77&lt;&gt;"",C77&lt;&gt;"other materials"),"Yes","No")</f>
        <v>No</v>
      </c>
      <c r="O77" s="581" t="s">
        <v>1095</v>
      </c>
    </row>
    <row r="78" spans="1:15" s="42" customFormat="1" ht="16.5" customHeight="1" x14ac:dyDescent="0.25">
      <c r="A78" s="254"/>
      <c r="B78" s="565"/>
      <c r="C78" s="1470" t="s">
        <v>129</v>
      </c>
      <c r="D78" s="1470"/>
      <c r="E78" s="1470"/>
      <c r="F78" s="1470"/>
      <c r="G78" s="254"/>
      <c r="H78" s="254"/>
      <c r="I78" s="254"/>
      <c r="J78" s="254"/>
      <c r="K78" s="254"/>
      <c r="L78" s="254"/>
      <c r="M78" s="254"/>
      <c r="N78" s="53" t="str">
        <f>IF(AND(C78&lt;&gt;"Select",C78&lt;&gt;"",C78&lt;&gt;"other materials"),"Yes","No")</f>
        <v>No</v>
      </c>
      <c r="O78" s="581" t="s">
        <v>1099</v>
      </c>
    </row>
    <row r="79" spans="1:15" s="42" customFormat="1" ht="16.5" customHeight="1" x14ac:dyDescent="0.25">
      <c r="A79" s="254"/>
      <c r="B79" s="751"/>
      <c r="C79" s="1470" t="s">
        <v>129</v>
      </c>
      <c r="D79" s="1470"/>
      <c r="E79" s="1470"/>
      <c r="F79" s="1470"/>
      <c r="G79" s="254"/>
      <c r="H79" s="254"/>
      <c r="I79" s="254"/>
      <c r="J79" s="254"/>
      <c r="K79" s="254"/>
      <c r="L79" s="254"/>
      <c r="M79" s="254"/>
      <c r="N79" s="53" t="str">
        <f>IF(AND(C79&lt;&gt;"Select",C79&lt;&gt;"",C79&lt;&gt;"other materials"),"Yes","No")</f>
        <v>No</v>
      </c>
      <c r="O79" s="42" t="s">
        <v>554</v>
      </c>
    </row>
    <row r="80" spans="1:15" s="42" customFormat="1" ht="16.5" customHeight="1" x14ac:dyDescent="0.25">
      <c r="A80" s="254"/>
      <c r="B80" s="565"/>
      <c r="C80" s="1470" t="s">
        <v>129</v>
      </c>
      <c r="D80" s="1470"/>
      <c r="E80" s="1470"/>
      <c r="F80" s="1470"/>
      <c r="G80" s="254"/>
      <c r="H80" s="254"/>
      <c r="I80" s="254"/>
      <c r="J80" s="254"/>
      <c r="K80" s="254"/>
      <c r="L80" s="254"/>
      <c r="M80" s="254"/>
      <c r="N80" s="53" t="str">
        <f>IF(AND(C80&lt;&gt;"Select",C80&lt;&gt;"",C80&lt;&gt;"other materials"),"Yes","No")</f>
        <v>No</v>
      </c>
      <c r="O80" s="581" t="s">
        <v>1096</v>
      </c>
    </row>
    <row r="81" spans="1:17" s="42" customFormat="1" ht="18" customHeight="1" x14ac:dyDescent="0.25">
      <c r="A81" s="254"/>
      <c r="B81" s="565"/>
      <c r="C81" s="1470" t="s">
        <v>129</v>
      </c>
      <c r="D81" s="1470"/>
      <c r="E81" s="1470"/>
      <c r="F81" s="1470"/>
      <c r="G81" s="254"/>
      <c r="H81" s="254"/>
      <c r="I81" s="254"/>
      <c r="J81" s="254"/>
      <c r="K81" s="254"/>
      <c r="L81" s="254"/>
      <c r="M81" s="254"/>
      <c r="N81" s="53" t="str">
        <f>IF(AND(C81&lt;&gt;"Select",C81&lt;&gt;"",C81&lt;&gt;"other materials"),"Yes","No")</f>
        <v>No</v>
      </c>
      <c r="O81" s="581" t="s">
        <v>573</v>
      </c>
      <c r="P81" s="582"/>
      <c r="Q81" s="582"/>
    </row>
    <row r="82" spans="1:17" s="42" customFormat="1" ht="16.5" customHeight="1" x14ac:dyDescent="0.25">
      <c r="A82" s="254"/>
      <c r="B82" s="254"/>
      <c r="C82" s="254"/>
      <c r="D82" s="254"/>
      <c r="E82" s="254"/>
      <c r="F82" s="254"/>
      <c r="G82" s="254"/>
      <c r="H82" s="254"/>
      <c r="I82" s="254"/>
      <c r="J82" s="254"/>
      <c r="K82" s="254"/>
      <c r="L82" s="254"/>
      <c r="M82" s="254"/>
      <c r="N82" s="254"/>
      <c r="P82" s="582"/>
      <c r="Q82" s="582"/>
    </row>
    <row r="83" spans="1:17" s="42" customFormat="1" ht="18" customHeight="1" x14ac:dyDescent="0.25">
      <c r="A83" s="254"/>
      <c r="B83" s="1494" t="s">
        <v>777</v>
      </c>
      <c r="C83" s="1494"/>
      <c r="D83" s="235" t="str">
        <f>IF(COUNTIF(N77:N81,"Yes")&gt;0, IF(COUNTIF(C77:D81,"other materials")&gt;0,"No","Yes"),"No")</f>
        <v>No</v>
      </c>
      <c r="E83" s="254"/>
      <c r="F83" s="254"/>
      <c r="G83" s="254"/>
      <c r="H83" s="254"/>
      <c r="I83" s="254"/>
      <c r="J83" s="254"/>
      <c r="K83" s="254"/>
      <c r="L83" s="254"/>
      <c r="M83" s="254"/>
      <c r="N83" s="254"/>
    </row>
    <row r="84" spans="1:17" s="42" customFormat="1" ht="19.5" customHeight="1" x14ac:dyDescent="0.25">
      <c r="A84" s="254"/>
      <c r="B84" s="254"/>
      <c r="C84" s="254"/>
      <c r="D84" s="254"/>
      <c r="E84" s="254"/>
      <c r="F84" s="254"/>
      <c r="G84" s="254"/>
      <c r="H84" s="254"/>
      <c r="I84" s="254"/>
      <c r="J84" s="254"/>
      <c r="K84" s="254"/>
      <c r="L84" s="254"/>
      <c r="M84" s="254"/>
      <c r="N84" s="254"/>
    </row>
    <row r="85" spans="1:17" s="42" customFormat="1" ht="16.5" customHeight="1" x14ac:dyDescent="0.25">
      <c r="A85" s="1410" t="s">
        <v>200</v>
      </c>
      <c r="B85" s="1410"/>
      <c r="C85" s="1410"/>
      <c r="D85" s="254"/>
      <c r="E85" s="254"/>
      <c r="F85" s="254"/>
      <c r="G85" s="254"/>
      <c r="H85" s="254"/>
      <c r="I85" s="254"/>
      <c r="J85" s="254"/>
      <c r="K85" s="254"/>
      <c r="L85" s="254"/>
      <c r="M85" s="254"/>
      <c r="N85" s="53"/>
    </row>
    <row r="86" spans="1:17" s="42" customFormat="1" ht="16.5" customHeight="1" x14ac:dyDescent="0.25">
      <c r="A86" s="254"/>
      <c r="B86" s="254"/>
      <c r="C86" s="254"/>
      <c r="D86" s="254"/>
      <c r="E86" s="254"/>
      <c r="F86" s="254"/>
      <c r="G86" s="254"/>
      <c r="H86" s="254"/>
      <c r="I86" s="254"/>
      <c r="J86" s="254"/>
      <c r="K86" s="254"/>
      <c r="L86" s="254"/>
      <c r="M86" s="254"/>
      <c r="N86" s="53"/>
    </row>
    <row r="87" spans="1:17" s="42" customFormat="1" ht="18" customHeight="1" x14ac:dyDescent="0.25">
      <c r="A87" s="213"/>
      <c r="B87" s="1446" t="s">
        <v>2103</v>
      </c>
      <c r="C87" s="1447"/>
      <c r="D87" s="1447"/>
      <c r="E87" s="1447"/>
      <c r="F87" s="1447"/>
      <c r="G87" s="1045" t="s">
        <v>2101</v>
      </c>
      <c r="H87" s="1443" t="s">
        <v>2102</v>
      </c>
      <c r="I87" s="1444"/>
      <c r="J87" s="213"/>
      <c r="K87" s="213"/>
      <c r="L87" s="254"/>
      <c r="M87" s="254"/>
      <c r="N87" s="53"/>
    </row>
    <row r="88" spans="1:17" s="42" customFormat="1" ht="21" customHeight="1" x14ac:dyDescent="0.25">
      <c r="A88" s="213"/>
      <c r="B88" s="1436" t="s">
        <v>1515</v>
      </c>
      <c r="C88" s="1437"/>
      <c r="D88" s="1437"/>
      <c r="E88" s="1437"/>
      <c r="F88" s="1438"/>
      <c r="G88" s="751" t="s">
        <v>2109</v>
      </c>
      <c r="H88" s="1441"/>
      <c r="I88" s="1442"/>
      <c r="J88" s="213"/>
      <c r="K88" s="213"/>
      <c r="L88" s="254"/>
      <c r="M88" s="254"/>
      <c r="N88" s="53"/>
    </row>
    <row r="89" spans="1:17" s="42" customFormat="1" ht="27" customHeight="1" x14ac:dyDescent="0.25">
      <c r="A89" s="213"/>
      <c r="B89" s="1436" t="s">
        <v>1610</v>
      </c>
      <c r="C89" s="1437"/>
      <c r="D89" s="1437"/>
      <c r="E89" s="1437"/>
      <c r="F89" s="1438"/>
      <c r="G89" s="751" t="s">
        <v>2109</v>
      </c>
      <c r="H89" s="1441"/>
      <c r="I89" s="1442"/>
      <c r="J89" s="213"/>
      <c r="K89" s="213"/>
      <c r="L89" s="254"/>
      <c r="M89" s="254"/>
      <c r="N89" s="53"/>
    </row>
    <row r="90" spans="1:17" s="42" customFormat="1" ht="18" customHeight="1" x14ac:dyDescent="0.25">
      <c r="A90" s="213"/>
      <c r="B90" s="213"/>
      <c r="C90" s="213"/>
      <c r="D90" s="213"/>
      <c r="E90" s="213"/>
      <c r="F90" s="213"/>
      <c r="G90" s="213"/>
      <c r="H90" s="213"/>
      <c r="I90" s="213"/>
      <c r="J90" s="213"/>
      <c r="K90" s="213"/>
      <c r="L90" s="254"/>
      <c r="M90" s="254"/>
      <c r="N90" s="53"/>
    </row>
    <row r="91" spans="1:17" s="42" customFormat="1" ht="16.5" customHeight="1" x14ac:dyDescent="0.25">
      <c r="A91" s="1410" t="s">
        <v>25</v>
      </c>
      <c r="B91" s="1410"/>
      <c r="C91" s="1410"/>
      <c r="D91" s="213"/>
      <c r="E91" s="213"/>
      <c r="F91" s="213"/>
      <c r="G91" s="213"/>
      <c r="H91" s="213"/>
      <c r="I91" s="213"/>
      <c r="J91" s="213"/>
      <c r="K91" s="213"/>
      <c r="L91" s="254"/>
      <c r="M91" s="254"/>
      <c r="N91" s="53"/>
    </row>
    <row r="92" spans="1:17" s="42" customFormat="1" ht="16.5" customHeight="1" x14ac:dyDescent="0.25">
      <c r="A92" s="213"/>
      <c r="B92" s="213"/>
      <c r="C92" s="213"/>
      <c r="D92" s="213"/>
      <c r="E92" s="213"/>
      <c r="F92" s="213"/>
      <c r="G92" s="213"/>
      <c r="H92" s="213"/>
      <c r="I92" s="213"/>
      <c r="J92" s="213"/>
      <c r="K92" s="213"/>
      <c r="L92" s="254"/>
      <c r="M92" s="254"/>
      <c r="N92" s="53"/>
    </row>
    <row r="93" spans="1:17" s="42" customFormat="1" ht="18" customHeight="1" x14ac:dyDescent="0.25">
      <c r="A93" s="213"/>
      <c r="B93" s="192" t="s">
        <v>56</v>
      </c>
      <c r="C93" s="1190" t="str">
        <f>IF($D$11="Prescriptive Path",IF(D83="Yes",1,0),"/")</f>
        <v>/</v>
      </c>
      <c r="D93" s="213"/>
      <c r="E93" s="213"/>
      <c r="F93" s="213"/>
      <c r="G93" s="213"/>
      <c r="H93" s="213"/>
      <c r="I93" s="213"/>
      <c r="J93" s="213"/>
      <c r="K93" s="213"/>
      <c r="L93" s="254"/>
      <c r="M93" s="254"/>
      <c r="N93" s="53"/>
    </row>
    <row r="94" spans="1:17" s="42" customFormat="1" ht="18" customHeight="1" x14ac:dyDescent="0.25">
      <c r="A94" s="213"/>
      <c r="B94" s="192" t="s">
        <v>521</v>
      </c>
      <c r="C94" s="1190" t="str">
        <f>IF($D$11="Prescriptive Path",IF(AND(G88="Submitted",G89="Submitted",C93&gt;0),"Yes","No"),"/")</f>
        <v>/</v>
      </c>
      <c r="D94" s="213"/>
      <c r="E94" s="213"/>
      <c r="F94" s="213"/>
      <c r="G94" s="213"/>
      <c r="H94" s="213"/>
      <c r="I94" s="213"/>
      <c r="J94" s="213"/>
      <c r="K94" s="213"/>
      <c r="L94" s="254"/>
      <c r="M94" s="254"/>
      <c r="N94" s="53"/>
    </row>
    <row r="95" spans="1:17" s="42" customFormat="1" ht="19.5" customHeight="1" x14ac:dyDescent="0.25">
      <c r="A95" s="213"/>
      <c r="B95" s="213"/>
      <c r="C95" s="213"/>
      <c r="D95" s="213"/>
      <c r="E95" s="213"/>
      <c r="F95" s="213"/>
      <c r="G95" s="213"/>
      <c r="H95" s="213"/>
      <c r="I95" s="213"/>
      <c r="J95" s="213"/>
      <c r="K95" s="213"/>
      <c r="L95" s="254"/>
      <c r="M95" s="254"/>
      <c r="N95" s="53"/>
    </row>
    <row r="96" spans="1:17" s="42" customFormat="1" ht="18" customHeight="1" x14ac:dyDescent="0.25">
      <c r="A96" s="1410" t="s">
        <v>772</v>
      </c>
      <c r="B96" s="1410"/>
      <c r="C96" s="1410"/>
      <c r="D96" s="1410"/>
      <c r="E96" s="1410"/>
      <c r="F96" s="1410"/>
      <c r="G96" s="1410"/>
      <c r="H96" s="1410"/>
      <c r="I96" s="1410"/>
      <c r="J96" s="1410"/>
      <c r="K96" s="1410"/>
      <c r="L96" s="1410"/>
      <c r="M96" s="1410"/>
      <c r="N96" s="53"/>
    </row>
    <row r="97" spans="1:15" s="42" customFormat="1" x14ac:dyDescent="0.25">
      <c r="A97" s="254"/>
      <c r="B97" s="257"/>
      <c r="C97" s="213"/>
      <c r="D97" s="213"/>
      <c r="E97" s="254"/>
      <c r="F97" s="254"/>
      <c r="G97" s="254"/>
      <c r="H97" s="254"/>
      <c r="I97" s="254"/>
      <c r="J97" s="254"/>
      <c r="K97" s="254"/>
      <c r="L97" s="254"/>
      <c r="M97" s="254"/>
      <c r="N97" s="53"/>
    </row>
    <row r="98" spans="1:15" s="42" customFormat="1" ht="16.5" customHeight="1" x14ac:dyDescent="0.25">
      <c r="A98" s="1410" t="s">
        <v>265</v>
      </c>
      <c r="B98" s="1410"/>
      <c r="C98" s="1410"/>
      <c r="D98" s="254"/>
      <c r="E98" s="254"/>
      <c r="F98" s="254"/>
      <c r="G98" s="254"/>
      <c r="H98" s="254"/>
      <c r="I98" s="254"/>
      <c r="J98" s="254"/>
      <c r="K98" s="254"/>
      <c r="L98" s="254"/>
      <c r="M98" s="254"/>
      <c r="N98" s="53"/>
    </row>
    <row r="99" spans="1:15" s="42" customFormat="1" x14ac:dyDescent="0.25">
      <c r="A99" s="254"/>
      <c r="B99" s="254"/>
      <c r="C99" s="254"/>
      <c r="D99" s="254"/>
      <c r="E99" s="254"/>
      <c r="F99" s="254"/>
      <c r="G99" s="254"/>
      <c r="H99" s="254"/>
      <c r="I99" s="254"/>
      <c r="J99" s="254"/>
      <c r="K99" s="254"/>
      <c r="L99" s="254"/>
      <c r="M99" s="254"/>
      <c r="N99" s="53"/>
    </row>
    <row r="100" spans="1:15" s="42" customFormat="1" x14ac:dyDescent="0.25">
      <c r="A100" s="254"/>
      <c r="B100" s="1488" t="s">
        <v>1511</v>
      </c>
      <c r="C100" s="1489"/>
      <c r="D100" s="1489"/>
      <c r="E100" s="1489"/>
      <c r="F100" s="1490"/>
      <c r="G100" s="254"/>
      <c r="H100" s="254"/>
      <c r="I100" s="254"/>
      <c r="J100" s="254"/>
      <c r="K100" s="254"/>
      <c r="L100" s="254"/>
      <c r="M100" s="254"/>
      <c r="N100" s="53"/>
    </row>
    <row r="101" spans="1:15" s="42" customFormat="1" x14ac:dyDescent="0.25">
      <c r="A101" s="254"/>
      <c r="B101" s="1491" t="s">
        <v>1517</v>
      </c>
      <c r="C101" s="1492"/>
      <c r="D101" s="1492"/>
      <c r="E101" s="1492"/>
      <c r="F101" s="1493"/>
      <c r="G101" s="254"/>
      <c r="H101" s="254"/>
      <c r="I101" s="254"/>
      <c r="J101" s="254"/>
      <c r="K101" s="254"/>
      <c r="L101" s="254"/>
      <c r="M101" s="254"/>
      <c r="N101" s="53"/>
    </row>
    <row r="102" spans="1:15" s="42" customFormat="1" x14ac:dyDescent="0.25">
      <c r="A102" s="254"/>
      <c r="B102" s="1498" t="s">
        <v>1920</v>
      </c>
      <c r="C102" s="1499"/>
      <c r="D102" s="1499"/>
      <c r="E102" s="1499"/>
      <c r="F102" s="1500"/>
      <c r="G102" s="254"/>
      <c r="H102" s="254"/>
      <c r="I102" s="254"/>
      <c r="J102" s="254"/>
      <c r="K102" s="254"/>
      <c r="L102" s="254"/>
      <c r="M102" s="254"/>
      <c r="N102" s="53"/>
    </row>
    <row r="103" spans="1:15" s="42" customFormat="1" x14ac:dyDescent="0.25">
      <c r="A103" s="254"/>
      <c r="B103" s="254"/>
      <c r="C103" s="254"/>
      <c r="D103" s="254"/>
      <c r="E103" s="254"/>
      <c r="F103" s="254"/>
      <c r="G103" s="254"/>
      <c r="H103" s="254"/>
      <c r="I103" s="254"/>
      <c r="J103" s="254"/>
      <c r="K103" s="254"/>
      <c r="L103" s="254"/>
      <c r="M103" s="254"/>
      <c r="N103" s="53"/>
    </row>
    <row r="104" spans="1:15" s="42" customFormat="1" x14ac:dyDescent="0.25">
      <c r="A104" s="254"/>
      <c r="B104" s="814" t="s">
        <v>1518</v>
      </c>
      <c r="C104" s="808"/>
      <c r="D104" s="808"/>
      <c r="E104" s="808"/>
      <c r="F104" s="808"/>
      <c r="G104" s="808"/>
      <c r="H104" s="808"/>
      <c r="I104" s="808"/>
      <c r="J104" s="808"/>
      <c r="K104" s="809"/>
      <c r="L104" s="254"/>
      <c r="M104" s="254"/>
      <c r="N104" s="53"/>
    </row>
    <row r="105" spans="1:15" s="42" customFormat="1" ht="15" customHeight="1" x14ac:dyDescent="0.25">
      <c r="A105" s="254"/>
      <c r="B105" s="752" t="s">
        <v>1921</v>
      </c>
      <c r="C105" s="810"/>
      <c r="D105" s="810"/>
      <c r="E105" s="810"/>
      <c r="F105" s="810"/>
      <c r="G105" s="810"/>
      <c r="H105" s="810"/>
      <c r="I105" s="810"/>
      <c r="J105" s="810"/>
      <c r="K105" s="811"/>
      <c r="L105" s="254"/>
      <c r="M105" s="254"/>
      <c r="N105" s="53"/>
    </row>
    <row r="106" spans="1:15" s="42" customFormat="1" x14ac:dyDescent="0.25">
      <c r="A106" s="254"/>
      <c r="B106" s="670" t="s">
        <v>1516</v>
      </c>
      <c r="C106" s="812"/>
      <c r="D106" s="812"/>
      <c r="E106" s="812"/>
      <c r="F106" s="812"/>
      <c r="G106" s="812"/>
      <c r="H106" s="812"/>
      <c r="I106" s="812"/>
      <c r="J106" s="812"/>
      <c r="K106" s="813"/>
      <c r="L106" s="254"/>
      <c r="M106" s="254"/>
      <c r="N106" s="53"/>
    </row>
    <row r="107" spans="1:15" s="42" customFormat="1" x14ac:dyDescent="0.25">
      <c r="A107" s="254"/>
      <c r="B107" s="254"/>
      <c r="C107" s="254"/>
      <c r="D107" s="254"/>
      <c r="E107" s="254"/>
      <c r="F107" s="254"/>
      <c r="G107" s="254"/>
      <c r="H107" s="254"/>
      <c r="I107" s="254"/>
      <c r="J107" s="254"/>
      <c r="K107" s="254"/>
      <c r="L107" s="254"/>
      <c r="M107" s="254"/>
      <c r="N107" s="53"/>
    </row>
    <row r="108" spans="1:15" s="42" customFormat="1" x14ac:dyDescent="0.25">
      <c r="A108" s="213"/>
      <c r="B108" s="692" t="s">
        <v>1109</v>
      </c>
      <c r="C108" s="213"/>
      <c r="D108" s="213"/>
      <c r="E108" s="213"/>
      <c r="F108" s="254"/>
      <c r="G108" s="254"/>
      <c r="H108" s="254"/>
      <c r="I108" s="254"/>
      <c r="J108" s="254"/>
      <c r="K108" s="254"/>
      <c r="L108" s="254"/>
      <c r="M108" s="254"/>
      <c r="N108" s="53"/>
    </row>
    <row r="109" spans="1:15" s="42" customFormat="1" ht="9" customHeight="1" x14ac:dyDescent="0.25">
      <c r="A109" s="254"/>
      <c r="B109" s="257"/>
      <c r="C109" s="213"/>
      <c r="D109" s="213"/>
      <c r="E109" s="254"/>
      <c r="F109" s="254"/>
      <c r="G109" s="254"/>
      <c r="H109" s="254"/>
      <c r="I109" s="254"/>
      <c r="J109" s="254"/>
      <c r="K109" s="254"/>
      <c r="L109" s="254"/>
      <c r="M109" s="254"/>
      <c r="N109" s="53"/>
    </row>
    <row r="110" spans="1:15" s="42" customFormat="1" ht="18" customHeight="1" x14ac:dyDescent="0.25">
      <c r="A110" s="254"/>
      <c r="B110" s="562" t="s">
        <v>1105</v>
      </c>
      <c r="C110" s="1440" t="s">
        <v>1110</v>
      </c>
      <c r="D110" s="1440"/>
      <c r="E110" s="1440" t="s">
        <v>33</v>
      </c>
      <c r="F110" s="1469"/>
      <c r="G110" s="254"/>
      <c r="H110" s="254"/>
      <c r="I110" s="254"/>
      <c r="J110" s="254"/>
      <c r="K110" s="254"/>
      <c r="L110" s="254"/>
      <c r="M110" s="254"/>
      <c r="N110" s="53"/>
      <c r="O110" s="581" t="s">
        <v>1107</v>
      </c>
    </row>
    <row r="111" spans="1:15" s="42" customFormat="1" ht="16.5" customHeight="1" x14ac:dyDescent="0.25">
      <c r="A111" s="254"/>
      <c r="B111" s="566"/>
      <c r="C111" s="1470" t="s">
        <v>129</v>
      </c>
      <c r="D111" s="1470"/>
      <c r="E111" s="1470"/>
      <c r="F111" s="1470"/>
      <c r="G111" s="254"/>
      <c r="H111" s="254"/>
      <c r="I111" s="254"/>
      <c r="J111" s="254"/>
      <c r="K111" s="254"/>
      <c r="L111" s="254"/>
      <c r="M111" s="254"/>
      <c r="N111" s="53" t="str">
        <f>IF(AND(C111&lt;&gt;"Select",C111&lt;&gt;"",C111&lt;&gt;"other type of glazing"),"Yes","No")</f>
        <v>No</v>
      </c>
      <c r="O111" s="581" t="s">
        <v>1108</v>
      </c>
    </row>
    <row r="112" spans="1:15" s="42" customFormat="1" ht="16.5" customHeight="1" x14ac:dyDescent="0.25">
      <c r="A112" s="254"/>
      <c r="B112" s="565"/>
      <c r="C112" s="1470" t="s">
        <v>129</v>
      </c>
      <c r="D112" s="1470"/>
      <c r="E112" s="1470"/>
      <c r="F112" s="1470"/>
      <c r="G112" s="254"/>
      <c r="H112" s="254"/>
      <c r="I112" s="254"/>
      <c r="J112" s="254"/>
      <c r="K112" s="254"/>
      <c r="L112" s="254"/>
      <c r="M112" s="254"/>
      <c r="N112" s="53" t="str">
        <f>IF(AND(C112&lt;&gt;"Select",C112&lt;&gt;"",C112&lt;&gt;"other type of glazing"),"Yes","No")</f>
        <v>No</v>
      </c>
      <c r="O112" s="581" t="s">
        <v>1104</v>
      </c>
    </row>
    <row r="113" spans="1:14" s="42" customFormat="1" ht="16.5" customHeight="1" x14ac:dyDescent="0.25">
      <c r="A113" s="254"/>
      <c r="B113" s="565"/>
      <c r="C113" s="1470" t="s">
        <v>129</v>
      </c>
      <c r="D113" s="1470"/>
      <c r="E113" s="1470"/>
      <c r="F113" s="1470"/>
      <c r="G113" s="254"/>
      <c r="H113" s="254"/>
      <c r="I113" s="254"/>
      <c r="J113" s="254"/>
      <c r="K113" s="254"/>
      <c r="L113" s="254"/>
      <c r="M113" s="254"/>
      <c r="N113" s="53" t="str">
        <f>IF(AND(C113&lt;&gt;"Select",C113&lt;&gt;"",C113&lt;&gt;"other type of glazing"),"Yes","No")</f>
        <v>No</v>
      </c>
    </row>
    <row r="114" spans="1:14" s="42" customFormat="1" ht="16.5" customHeight="1" x14ac:dyDescent="0.25">
      <c r="A114" s="254"/>
      <c r="B114" s="565"/>
      <c r="C114" s="1470" t="s">
        <v>129</v>
      </c>
      <c r="D114" s="1470"/>
      <c r="E114" s="1470"/>
      <c r="F114" s="1470"/>
      <c r="G114" s="254"/>
      <c r="H114" s="254"/>
      <c r="I114" s="254"/>
      <c r="J114" s="254"/>
      <c r="K114" s="254"/>
      <c r="L114" s="254"/>
      <c r="M114" s="254"/>
      <c r="N114" s="53" t="str">
        <f>IF(AND(C114&lt;&gt;"Select",C114&lt;&gt;"",C114&lt;&gt;"other type of glazing"),"Yes","No")</f>
        <v>No</v>
      </c>
    </row>
    <row r="115" spans="1:14" s="42" customFormat="1" ht="16.5" customHeight="1" x14ac:dyDescent="0.25">
      <c r="A115" s="254"/>
      <c r="B115" s="254"/>
      <c r="C115" s="254"/>
      <c r="D115" s="254"/>
      <c r="E115" s="254"/>
      <c r="F115" s="254"/>
      <c r="G115" s="254"/>
      <c r="H115" s="254"/>
      <c r="I115" s="254"/>
      <c r="J115" s="254"/>
      <c r="K115" s="254"/>
      <c r="L115" s="254"/>
      <c r="M115" s="254"/>
      <c r="N115" s="53"/>
    </row>
    <row r="116" spans="1:14" s="42" customFormat="1" ht="18" customHeight="1" x14ac:dyDescent="0.25">
      <c r="A116" s="254"/>
      <c r="B116" s="1494" t="s">
        <v>1106</v>
      </c>
      <c r="C116" s="1494"/>
      <c r="D116" s="235" t="str">
        <f>IF(COUNTIF(N111:N114,"Yes")&gt;0, IF(COUNTIF(D111:E114,"other type of glazing")&gt;0,"No","Yes"),"No")</f>
        <v>No</v>
      </c>
      <c r="E116" s="254"/>
      <c r="F116" s="254"/>
      <c r="G116" s="254"/>
      <c r="H116" s="254"/>
      <c r="I116" s="254"/>
      <c r="J116" s="254"/>
      <c r="K116" s="254"/>
      <c r="L116" s="254"/>
      <c r="M116" s="254"/>
      <c r="N116" s="53"/>
    </row>
    <row r="117" spans="1:14" s="42" customFormat="1" ht="20.25" customHeight="1" x14ac:dyDescent="0.25">
      <c r="A117" s="254"/>
      <c r="B117" s="254"/>
      <c r="C117" s="254"/>
      <c r="D117" s="254"/>
      <c r="E117" s="254"/>
      <c r="F117" s="254"/>
      <c r="G117" s="254"/>
      <c r="H117" s="254"/>
      <c r="I117" s="254"/>
      <c r="J117" s="254"/>
      <c r="K117" s="254"/>
      <c r="L117" s="254"/>
      <c r="M117" s="254"/>
      <c r="N117" s="53"/>
    </row>
    <row r="118" spans="1:14" s="42" customFormat="1" ht="16.5" customHeight="1" x14ac:dyDescent="0.25">
      <c r="A118" s="1410" t="s">
        <v>200</v>
      </c>
      <c r="B118" s="1410"/>
      <c r="C118" s="1410"/>
      <c r="D118" s="254"/>
      <c r="E118" s="254"/>
      <c r="F118" s="254"/>
      <c r="G118" s="254"/>
      <c r="H118" s="254"/>
      <c r="I118" s="254"/>
      <c r="J118" s="254"/>
      <c r="K118" s="254"/>
      <c r="L118" s="254"/>
      <c r="M118" s="254"/>
      <c r="N118" s="53"/>
    </row>
    <row r="119" spans="1:14" s="42" customFormat="1" ht="16.5" customHeight="1" x14ac:dyDescent="0.25">
      <c r="A119" s="254"/>
      <c r="B119" s="254"/>
      <c r="C119" s="254"/>
      <c r="D119" s="254"/>
      <c r="E119" s="254"/>
      <c r="F119" s="254"/>
      <c r="G119" s="254"/>
      <c r="H119" s="254"/>
      <c r="I119" s="254"/>
      <c r="J119" s="254"/>
      <c r="K119" s="254"/>
      <c r="L119" s="254"/>
      <c r="M119" s="254"/>
      <c r="N119" s="53"/>
    </row>
    <row r="120" spans="1:14" s="42" customFormat="1" ht="18" customHeight="1" x14ac:dyDescent="0.25">
      <c r="A120" s="213"/>
      <c r="B120" s="1446" t="s">
        <v>2103</v>
      </c>
      <c r="C120" s="1447"/>
      <c r="D120" s="1447"/>
      <c r="E120" s="1447"/>
      <c r="F120" s="1447"/>
      <c r="G120" s="1045" t="s">
        <v>2101</v>
      </c>
      <c r="H120" s="1443" t="s">
        <v>2102</v>
      </c>
      <c r="I120" s="1444"/>
      <c r="J120" s="213"/>
      <c r="K120" s="213"/>
      <c r="L120" s="254"/>
      <c r="M120" s="254"/>
      <c r="N120" s="53"/>
    </row>
    <row r="121" spans="1:14" s="42" customFormat="1" ht="21" customHeight="1" x14ac:dyDescent="0.25">
      <c r="A121" s="213"/>
      <c r="B121" s="1436" t="s">
        <v>1306</v>
      </c>
      <c r="C121" s="1437"/>
      <c r="D121" s="1437"/>
      <c r="E121" s="1437"/>
      <c r="F121" s="1438"/>
      <c r="G121" s="518" t="s">
        <v>129</v>
      </c>
      <c r="H121" s="1441"/>
      <c r="I121" s="1442"/>
      <c r="J121" s="213"/>
      <c r="K121" s="213"/>
      <c r="L121" s="254"/>
      <c r="M121" s="254"/>
      <c r="N121" s="53"/>
    </row>
    <row r="122" spans="1:14" s="42" customFormat="1" ht="21" customHeight="1" x14ac:dyDescent="0.25">
      <c r="A122" s="213"/>
      <c r="B122" s="1436" t="s">
        <v>1307</v>
      </c>
      <c r="C122" s="1437"/>
      <c r="D122" s="1437"/>
      <c r="E122" s="1437"/>
      <c r="F122" s="1438"/>
      <c r="G122" s="518" t="s">
        <v>129</v>
      </c>
      <c r="H122" s="1441"/>
      <c r="I122" s="1442"/>
      <c r="J122" s="213"/>
      <c r="K122" s="213"/>
      <c r="L122" s="254"/>
      <c r="M122" s="254"/>
      <c r="N122" s="53"/>
    </row>
    <row r="123" spans="1:14" s="42" customFormat="1" ht="18.75" customHeight="1" x14ac:dyDescent="0.25">
      <c r="A123" s="213"/>
      <c r="B123" s="213"/>
      <c r="C123" s="213"/>
      <c r="D123" s="213"/>
      <c r="E123" s="213"/>
      <c r="F123" s="213"/>
      <c r="G123" s="213"/>
      <c r="H123" s="213"/>
      <c r="I123" s="213"/>
      <c r="J123" s="213"/>
      <c r="K123" s="213"/>
      <c r="L123" s="254"/>
      <c r="M123" s="254"/>
      <c r="N123" s="53"/>
    </row>
    <row r="124" spans="1:14" s="42" customFormat="1" ht="16.5" customHeight="1" x14ac:dyDescent="0.25">
      <c r="A124" s="1410" t="s">
        <v>25</v>
      </c>
      <c r="B124" s="1410"/>
      <c r="C124" s="1410"/>
      <c r="D124" s="213"/>
      <c r="E124" s="213"/>
      <c r="F124" s="213"/>
      <c r="G124" s="213"/>
      <c r="H124" s="213"/>
      <c r="I124" s="213"/>
      <c r="J124" s="213"/>
      <c r="K124" s="213"/>
      <c r="L124" s="254"/>
      <c r="M124" s="254"/>
      <c r="N124" s="53"/>
    </row>
    <row r="125" spans="1:14" s="42" customFormat="1" ht="16.5" customHeight="1" x14ac:dyDescent="0.25">
      <c r="A125" s="213"/>
      <c r="B125" s="213"/>
      <c r="C125" s="213"/>
      <c r="D125" s="213"/>
      <c r="E125" s="213"/>
      <c r="F125" s="213"/>
      <c r="G125" s="213"/>
      <c r="H125" s="213"/>
      <c r="I125" s="213"/>
      <c r="J125" s="213"/>
      <c r="K125" s="213"/>
      <c r="L125" s="254"/>
      <c r="M125" s="254"/>
      <c r="N125" s="53"/>
    </row>
    <row r="126" spans="1:14" s="42" customFormat="1" ht="18" customHeight="1" x14ac:dyDescent="0.25">
      <c r="A126" s="213"/>
      <c r="B126" s="192" t="s">
        <v>56</v>
      </c>
      <c r="C126" s="1190" t="str">
        <f>IF($D$11="Prescriptive Path",IF(D116="Yes",1,0),"/")</f>
        <v>/</v>
      </c>
      <c r="D126" s="213"/>
      <c r="E126" s="213"/>
      <c r="F126" s="213"/>
      <c r="G126" s="213"/>
      <c r="H126" s="213"/>
      <c r="I126" s="213"/>
      <c r="J126" s="213"/>
      <c r="K126" s="213"/>
      <c r="L126" s="254"/>
      <c r="M126" s="254"/>
      <c r="N126" s="53"/>
    </row>
    <row r="127" spans="1:14" s="42" customFormat="1" ht="18" customHeight="1" x14ac:dyDescent="0.25">
      <c r="A127" s="213"/>
      <c r="B127" s="192" t="s">
        <v>521</v>
      </c>
      <c r="C127" s="1190" t="str">
        <f>IF($D$11="Prescriptive Path",IF(AND(G121="Submitted",G122="Submitted",C126&gt;0),"Yes","No"),"/")</f>
        <v>/</v>
      </c>
      <c r="D127" s="213"/>
      <c r="E127" s="213"/>
      <c r="F127" s="213"/>
      <c r="G127" s="213"/>
      <c r="H127" s="213"/>
      <c r="I127" s="213"/>
      <c r="J127" s="213"/>
      <c r="K127" s="213"/>
      <c r="L127" s="254"/>
      <c r="M127" s="254"/>
      <c r="N127" s="53"/>
    </row>
    <row r="128" spans="1:14" s="42" customFormat="1" ht="19.5" customHeight="1" x14ac:dyDescent="0.25">
      <c r="A128" s="213"/>
      <c r="B128" s="213"/>
      <c r="C128" s="213"/>
      <c r="D128" s="213"/>
      <c r="E128" s="213"/>
      <c r="F128" s="213"/>
      <c r="G128" s="213"/>
      <c r="H128" s="213"/>
      <c r="I128" s="213"/>
      <c r="J128" s="213"/>
      <c r="K128" s="213"/>
      <c r="L128" s="254"/>
      <c r="M128" s="254"/>
      <c r="N128" s="53"/>
    </row>
    <row r="129" spans="1:14" s="42" customFormat="1" ht="16.5" customHeight="1" x14ac:dyDescent="0.25">
      <c r="A129" s="1410" t="s">
        <v>957</v>
      </c>
      <c r="B129" s="1410"/>
      <c r="C129" s="1410"/>
      <c r="D129" s="1410"/>
      <c r="E129" s="1410"/>
      <c r="F129" s="1410"/>
      <c r="G129" s="1410"/>
      <c r="H129" s="1410"/>
      <c r="I129" s="1410"/>
      <c r="J129" s="1410"/>
      <c r="K129" s="1410"/>
      <c r="L129" s="1410"/>
      <c r="M129" s="1410"/>
      <c r="N129" s="53"/>
    </row>
    <row r="130" spans="1:14" s="42" customFormat="1" ht="16.5" customHeight="1" x14ac:dyDescent="0.25">
      <c r="A130" s="254"/>
      <c r="B130" s="254"/>
      <c r="C130" s="254"/>
      <c r="D130" s="254"/>
      <c r="E130" s="254"/>
      <c r="F130" s="254"/>
      <c r="G130" s="254"/>
      <c r="H130" s="254"/>
      <c r="I130" s="254"/>
      <c r="J130" s="254"/>
      <c r="K130" s="254"/>
      <c r="L130" s="254"/>
      <c r="M130" s="254"/>
      <c r="N130" s="53"/>
    </row>
    <row r="131" spans="1:14" s="42" customFormat="1" ht="16.5" customHeight="1" x14ac:dyDescent="0.25">
      <c r="A131" s="1410" t="s">
        <v>265</v>
      </c>
      <c r="B131" s="1410"/>
      <c r="C131" s="1410"/>
      <c r="D131" s="254"/>
      <c r="E131" s="254"/>
      <c r="F131" s="254"/>
      <c r="G131" s="254"/>
      <c r="H131" s="254"/>
      <c r="I131" s="254"/>
      <c r="J131" s="254"/>
      <c r="K131" s="254"/>
      <c r="L131" s="254"/>
      <c r="M131" s="254"/>
      <c r="N131" s="53"/>
    </row>
    <row r="132" spans="1:14" s="42" customFormat="1" ht="16.5" customHeight="1" x14ac:dyDescent="0.25">
      <c r="A132" s="254"/>
      <c r="B132" s="254"/>
      <c r="C132" s="254"/>
      <c r="D132" s="254"/>
      <c r="E132" s="254"/>
      <c r="F132" s="254"/>
      <c r="G132" s="254"/>
      <c r="H132" s="254"/>
      <c r="I132" s="254"/>
      <c r="J132" s="254"/>
      <c r="K132" s="254"/>
      <c r="L132" s="254"/>
      <c r="M132" s="254"/>
      <c r="N132" s="53"/>
    </row>
    <row r="133" spans="1:14" s="42" customFormat="1" ht="16.5" customHeight="1" x14ac:dyDescent="0.25">
      <c r="A133" s="254"/>
      <c r="B133" s="818" t="s">
        <v>1520</v>
      </c>
      <c r="C133" s="808"/>
      <c r="D133" s="808"/>
      <c r="E133" s="808"/>
      <c r="F133" s="808"/>
      <c r="G133" s="809"/>
      <c r="H133" s="254"/>
      <c r="I133" s="254"/>
      <c r="J133" s="254"/>
      <c r="K133" s="254"/>
      <c r="L133" s="254"/>
      <c r="M133" s="254"/>
      <c r="N133" s="53"/>
    </row>
    <row r="134" spans="1:14" s="42" customFormat="1" ht="16.5" customHeight="1" x14ac:dyDescent="0.25">
      <c r="A134" s="254"/>
      <c r="B134" s="816" t="s">
        <v>1519</v>
      </c>
      <c r="C134" s="810"/>
      <c r="D134" s="810"/>
      <c r="E134" s="810"/>
      <c r="F134" s="810"/>
      <c r="G134" s="811"/>
      <c r="H134" s="254"/>
      <c r="I134" s="254"/>
      <c r="J134" s="254"/>
      <c r="K134" s="254"/>
      <c r="L134" s="254"/>
      <c r="M134" s="254"/>
      <c r="N134" s="53"/>
    </row>
    <row r="135" spans="1:14" s="42" customFormat="1" ht="16.5" customHeight="1" x14ac:dyDescent="0.25">
      <c r="A135" s="254"/>
      <c r="B135" s="817" t="s">
        <v>1521</v>
      </c>
      <c r="C135" s="810"/>
      <c r="D135" s="810"/>
      <c r="E135" s="810"/>
      <c r="F135" s="810"/>
      <c r="G135" s="811"/>
      <c r="H135" s="254"/>
      <c r="I135" s="254"/>
      <c r="J135" s="254"/>
      <c r="K135" s="254"/>
      <c r="L135" s="254"/>
      <c r="M135" s="254"/>
      <c r="N135" s="53"/>
    </row>
    <row r="136" spans="1:14" s="42" customFormat="1" ht="16.5" customHeight="1" x14ac:dyDescent="0.25">
      <c r="A136" s="254"/>
      <c r="B136" s="817" t="s">
        <v>1522</v>
      </c>
      <c r="C136" s="810"/>
      <c r="D136" s="810"/>
      <c r="E136" s="810"/>
      <c r="F136" s="810"/>
      <c r="G136" s="811"/>
      <c r="H136" s="254"/>
      <c r="I136" s="254"/>
      <c r="J136" s="254"/>
      <c r="K136" s="254"/>
      <c r="L136" s="254"/>
      <c r="M136" s="254"/>
      <c r="N136" s="53"/>
    </row>
    <row r="137" spans="1:14" s="42" customFormat="1" ht="16.5" customHeight="1" x14ac:dyDescent="0.25">
      <c r="A137" s="254"/>
      <c r="B137" s="817" t="s">
        <v>1523</v>
      </c>
      <c r="C137" s="810"/>
      <c r="D137" s="810"/>
      <c r="E137" s="810"/>
      <c r="F137" s="810"/>
      <c r="G137" s="811"/>
      <c r="H137" s="254"/>
      <c r="I137" s="254"/>
      <c r="J137" s="254"/>
      <c r="K137" s="254"/>
      <c r="L137" s="254"/>
      <c r="M137" s="254"/>
      <c r="N137" s="53"/>
    </row>
    <row r="138" spans="1:14" s="42" customFormat="1" ht="16.5" customHeight="1" x14ac:dyDescent="0.25">
      <c r="A138" s="254"/>
      <c r="B138" s="815" t="s">
        <v>1524</v>
      </c>
      <c r="C138" s="810"/>
      <c r="D138" s="810"/>
      <c r="E138" s="810"/>
      <c r="F138" s="810"/>
      <c r="G138" s="811"/>
      <c r="H138" s="254"/>
      <c r="I138" s="254"/>
      <c r="J138" s="254"/>
      <c r="K138" s="254"/>
      <c r="L138" s="254"/>
      <c r="M138" s="254"/>
      <c r="N138" s="53"/>
    </row>
    <row r="139" spans="1:14" s="42" customFormat="1" ht="16.5" customHeight="1" x14ac:dyDescent="0.25">
      <c r="A139" s="254"/>
      <c r="B139" s="816" t="s">
        <v>1528</v>
      </c>
      <c r="C139" s="810"/>
      <c r="D139" s="810"/>
      <c r="E139" s="810"/>
      <c r="F139" s="810"/>
      <c r="G139" s="811"/>
      <c r="H139" s="254"/>
      <c r="I139" s="254"/>
      <c r="J139" s="254"/>
      <c r="K139" s="254"/>
      <c r="L139" s="254"/>
      <c r="M139" s="254"/>
      <c r="N139" s="53"/>
    </row>
    <row r="140" spans="1:14" s="42" customFormat="1" ht="16.5" customHeight="1" x14ac:dyDescent="0.25">
      <c r="A140" s="254"/>
      <c r="B140" s="819" t="s">
        <v>1525</v>
      </c>
      <c r="C140" s="810"/>
      <c r="D140" s="810"/>
      <c r="E140" s="810"/>
      <c r="F140" s="810"/>
      <c r="G140" s="811"/>
      <c r="H140" s="254"/>
      <c r="I140" s="254"/>
      <c r="J140" s="254"/>
      <c r="K140" s="254"/>
      <c r="L140" s="254"/>
      <c r="M140" s="254"/>
      <c r="N140" s="53"/>
    </row>
    <row r="141" spans="1:14" s="42" customFormat="1" ht="16.5" customHeight="1" x14ac:dyDescent="0.25">
      <c r="A141" s="254"/>
      <c r="B141" s="819" t="s">
        <v>1526</v>
      </c>
      <c r="C141" s="810"/>
      <c r="D141" s="810"/>
      <c r="E141" s="810"/>
      <c r="F141" s="810"/>
      <c r="G141" s="811"/>
      <c r="H141" s="254"/>
      <c r="I141" s="254"/>
      <c r="J141" s="254"/>
      <c r="K141" s="254"/>
      <c r="L141" s="254"/>
      <c r="M141" s="254"/>
      <c r="N141" s="53"/>
    </row>
    <row r="142" spans="1:14" s="42" customFormat="1" ht="16.5" customHeight="1" x14ac:dyDescent="0.25">
      <c r="A142" s="254"/>
      <c r="B142" s="820" t="s">
        <v>1527</v>
      </c>
      <c r="C142" s="812"/>
      <c r="D142" s="812"/>
      <c r="E142" s="812"/>
      <c r="F142" s="812"/>
      <c r="G142" s="813"/>
      <c r="H142" s="254"/>
      <c r="I142" s="254"/>
      <c r="J142" s="254"/>
      <c r="K142" s="254"/>
      <c r="L142" s="254"/>
      <c r="M142" s="254"/>
      <c r="N142" s="53"/>
    </row>
    <row r="143" spans="1:14" s="42" customFormat="1" ht="16.5" customHeight="1" x14ac:dyDescent="0.25">
      <c r="A143" s="254"/>
      <c r="B143" s="254"/>
      <c r="C143" s="254"/>
      <c r="D143" s="254"/>
      <c r="E143" s="254"/>
      <c r="F143" s="254"/>
      <c r="G143" s="254"/>
      <c r="H143" s="254"/>
      <c r="I143" s="254"/>
      <c r="J143" s="254"/>
      <c r="K143" s="254"/>
      <c r="L143" s="254"/>
      <c r="M143" s="254"/>
      <c r="N143" s="53"/>
    </row>
    <row r="144" spans="1:14" s="42" customFormat="1" ht="16.5" customHeight="1" x14ac:dyDescent="0.25">
      <c r="A144" s="254"/>
      <c r="B144" s="691" t="s">
        <v>1529</v>
      </c>
      <c r="C144" s="254"/>
      <c r="D144" s="254"/>
      <c r="E144" s="254"/>
      <c r="F144" s="254"/>
      <c r="G144" s="254"/>
      <c r="H144" s="254"/>
      <c r="I144" s="254"/>
      <c r="J144" s="254"/>
      <c r="K144" s="254"/>
      <c r="L144" s="254"/>
      <c r="M144" s="254"/>
      <c r="N144" s="53"/>
    </row>
    <row r="145" spans="1:15" s="42" customFormat="1" ht="16.5" customHeight="1" x14ac:dyDescent="0.25">
      <c r="A145" s="254"/>
      <c r="B145" s="254"/>
      <c r="C145" s="254"/>
      <c r="D145" s="254"/>
      <c r="E145" s="254"/>
      <c r="F145" s="254"/>
      <c r="G145" s="254"/>
      <c r="H145" s="254"/>
      <c r="I145" s="254"/>
      <c r="J145" s="254"/>
      <c r="K145" s="254"/>
      <c r="L145" s="254"/>
      <c r="M145" s="254"/>
      <c r="N145" s="53"/>
    </row>
    <row r="146" spans="1:15" s="42" customFormat="1" ht="16.5" customHeight="1" x14ac:dyDescent="0.25">
      <c r="A146" s="254"/>
      <c r="B146" s="692" t="s">
        <v>1530</v>
      </c>
      <c r="C146" s="254"/>
      <c r="D146" s="254"/>
      <c r="E146" s="254"/>
      <c r="F146" s="254"/>
      <c r="G146" s="254"/>
      <c r="H146" s="254"/>
      <c r="I146" s="254"/>
      <c r="J146" s="254"/>
      <c r="K146" s="254"/>
      <c r="L146" s="254"/>
      <c r="M146" s="254"/>
      <c r="N146" s="53"/>
    </row>
    <row r="147" spans="1:15" s="42" customFormat="1" ht="9" customHeight="1" x14ac:dyDescent="0.25">
      <c r="A147" s="254"/>
      <c r="B147" s="692"/>
      <c r="C147" s="254"/>
      <c r="D147" s="254"/>
      <c r="E147" s="254"/>
      <c r="F147" s="254"/>
      <c r="G147" s="254"/>
      <c r="H147" s="254"/>
      <c r="I147" s="254"/>
      <c r="J147" s="254"/>
      <c r="K147" s="254"/>
      <c r="L147" s="254"/>
      <c r="M147" s="254"/>
      <c r="N147" s="53"/>
    </row>
    <row r="148" spans="1:15" s="42" customFormat="1" ht="16.5" customHeight="1" x14ac:dyDescent="0.25">
      <c r="A148" s="254"/>
      <c r="B148" s="256" t="s">
        <v>958</v>
      </c>
      <c r="C148" s="254"/>
      <c r="D148" s="254"/>
      <c r="E148" s="254"/>
      <c r="F148" s="254"/>
      <c r="G148" s="256" t="s">
        <v>959</v>
      </c>
      <c r="H148" s="254"/>
      <c r="I148" s="254"/>
      <c r="J148" s="254"/>
      <c r="K148" s="254"/>
      <c r="L148" s="254"/>
      <c r="M148" s="254"/>
      <c r="N148" s="53"/>
    </row>
    <row r="149" spans="1:15" s="42" customFormat="1" ht="18" customHeight="1" x14ac:dyDescent="0.25">
      <c r="A149" s="254"/>
      <c r="B149" s="405" t="s">
        <v>1940</v>
      </c>
      <c r="C149" s="904" t="s">
        <v>43</v>
      </c>
      <c r="D149" s="904" t="s">
        <v>1942</v>
      </c>
      <c r="E149" s="909" t="s">
        <v>46</v>
      </c>
      <c r="F149" s="254"/>
      <c r="G149" s="405" t="s">
        <v>1941</v>
      </c>
      <c r="H149" s="904" t="s">
        <v>43</v>
      </c>
      <c r="I149" s="1440" t="s">
        <v>775</v>
      </c>
      <c r="J149" s="1440"/>
      <c r="K149" s="1440" t="s">
        <v>46</v>
      </c>
      <c r="L149" s="1469"/>
      <c r="M149" s="254"/>
      <c r="N149" s="53"/>
    </row>
    <row r="150" spans="1:15" s="42" customFormat="1" ht="16.5" customHeight="1" x14ac:dyDescent="0.25">
      <c r="A150" s="254"/>
      <c r="B150" s="1001"/>
      <c r="C150" s="566"/>
      <c r="D150" s="566" t="s">
        <v>129</v>
      </c>
      <c r="E150" s="402">
        <f>IF(AND(D150&lt;&gt;"No",D150&lt;&gt;"Select"),C150,0)</f>
        <v>0</v>
      </c>
      <c r="F150" s="254"/>
      <c r="G150" s="566"/>
      <c r="H150" s="565"/>
      <c r="I150" s="1470" t="s">
        <v>129</v>
      </c>
      <c r="J150" s="1470"/>
      <c r="K150" s="1473">
        <f>IF(AND(I150&lt;&gt;"No",I150&lt;&gt;"Select"),H150,0)</f>
        <v>0</v>
      </c>
      <c r="L150" s="1473"/>
      <c r="M150" s="254"/>
      <c r="N150" s="53"/>
      <c r="O150" s="42" t="str">
        <f>IF(D150="solar reflectivity &gt; 0.7","Yes",IF(I150="solar reflectivity &gt; 0.4","Yes","No"))</f>
        <v>No</v>
      </c>
    </row>
    <row r="151" spans="1:15" s="42" customFormat="1" ht="16.5" customHeight="1" x14ac:dyDescent="0.25">
      <c r="A151" s="254"/>
      <c r="B151" s="1001"/>
      <c r="C151" s="565"/>
      <c r="D151" s="1001" t="s">
        <v>129</v>
      </c>
      <c r="E151" s="294">
        <f>IF(AND(D151&lt;&gt;"No",D151&lt;&gt;"Select"),C151,0)</f>
        <v>0</v>
      </c>
      <c r="F151" s="254"/>
      <c r="G151" s="1001"/>
      <c r="H151" s="565"/>
      <c r="I151" s="1470" t="s">
        <v>129</v>
      </c>
      <c r="J151" s="1470"/>
      <c r="K151" s="1473">
        <f>IF(AND(I151&lt;&gt;"No",I151&lt;&gt;"Select"),H151,0)</f>
        <v>0</v>
      </c>
      <c r="L151" s="1473"/>
      <c r="M151" s="254"/>
      <c r="N151" s="53"/>
      <c r="O151" s="42" t="str">
        <f>IF(D151="solar reflectivity &gt; 0.7","Yes",IF(I151="solar reflectivity &gt; 0.4","Yes","No"))</f>
        <v>No</v>
      </c>
    </row>
    <row r="152" spans="1:15" s="42" customFormat="1" ht="16.5" customHeight="1" x14ac:dyDescent="0.25">
      <c r="A152" s="254"/>
      <c r="B152" s="1001"/>
      <c r="C152" s="565"/>
      <c r="D152" s="1001" t="s">
        <v>129</v>
      </c>
      <c r="E152" s="294">
        <f>IF(AND(D152&lt;&gt;"No",D152&lt;&gt;"Select"),C152,0)</f>
        <v>0</v>
      </c>
      <c r="F152" s="254"/>
      <c r="G152" s="1001"/>
      <c r="H152" s="565"/>
      <c r="I152" s="1470" t="s">
        <v>129</v>
      </c>
      <c r="J152" s="1470"/>
      <c r="K152" s="1473">
        <f>IF(AND(I152&lt;&gt;"No",I152&lt;&gt;"Select"),H152,0)</f>
        <v>0</v>
      </c>
      <c r="L152" s="1473"/>
      <c r="M152" s="254"/>
      <c r="N152" s="53"/>
      <c r="O152" s="42" t="str">
        <f>IF(D152="solar reflectivity &gt; 0.7","Yes",IF(I152="solar reflectivity &gt; 0.4","Yes","No"))</f>
        <v>No</v>
      </c>
    </row>
    <row r="153" spans="1:15" s="42" customFormat="1" ht="16.5" customHeight="1" x14ac:dyDescent="0.25">
      <c r="A153" s="254"/>
      <c r="B153" s="1001"/>
      <c r="C153" s="565"/>
      <c r="D153" s="1001" t="s">
        <v>129</v>
      </c>
      <c r="E153" s="294">
        <f>IF(AND(D153&lt;&gt;"No",D153&lt;&gt;"Select"),C153,0)</f>
        <v>0</v>
      </c>
      <c r="F153" s="254"/>
      <c r="G153" s="1001"/>
      <c r="H153" s="565"/>
      <c r="I153" s="1470" t="s">
        <v>129</v>
      </c>
      <c r="J153" s="1470"/>
      <c r="K153" s="1473">
        <f>IF(AND(I153&lt;&gt;"No",I153&lt;&gt;"Select"),H153,0)</f>
        <v>0</v>
      </c>
      <c r="L153" s="1473"/>
      <c r="M153" s="254"/>
      <c r="N153" s="53"/>
      <c r="O153" s="42" t="str">
        <f>IF(D153="solar reflectivity &gt; 0.7","Yes",IF(I153="solar reflectivity &gt; 0.4","Yes","No"))</f>
        <v>No</v>
      </c>
    </row>
    <row r="154" spans="1:15" s="42" customFormat="1" ht="16.5" customHeight="1" x14ac:dyDescent="0.25">
      <c r="A154" s="254"/>
      <c r="B154" s="1001"/>
      <c r="C154" s="565"/>
      <c r="D154" s="1001" t="s">
        <v>129</v>
      </c>
      <c r="E154" s="294">
        <f>IF(AND(D154&lt;&gt;"No",D154&lt;&gt;"Select"),C154,0)</f>
        <v>0</v>
      </c>
      <c r="F154" s="254"/>
      <c r="G154" s="1001"/>
      <c r="H154" s="565"/>
      <c r="I154" s="1470" t="s">
        <v>129</v>
      </c>
      <c r="J154" s="1470"/>
      <c r="K154" s="1473">
        <f>IF(AND(I154&lt;&gt;"No",I154&lt;&gt;"Select"),H154,0)</f>
        <v>0</v>
      </c>
      <c r="L154" s="1473"/>
      <c r="M154" s="254"/>
      <c r="N154" s="53"/>
      <c r="O154" s="42" t="str">
        <f>IF(D154="solar reflectivity &gt; 0.7","Yes",IF(I154="solar reflectivity &gt; 0.4","Yes","No"))</f>
        <v>No</v>
      </c>
    </row>
    <row r="155" spans="1:15" s="42" customFormat="1" ht="16.5" customHeight="1" x14ac:dyDescent="0.25">
      <c r="A155" s="254"/>
      <c r="B155" s="254"/>
      <c r="C155" s="412">
        <f>SUM(C150:C154)</f>
        <v>0</v>
      </c>
      <c r="D155" s="254"/>
      <c r="E155" s="412">
        <f>SUM(E150:E154)</f>
        <v>0</v>
      </c>
      <c r="F155" s="254"/>
      <c r="G155" s="254"/>
      <c r="H155" s="412">
        <f>SUM(H150:H154)</f>
        <v>0</v>
      </c>
      <c r="I155" s="254"/>
      <c r="J155" s="254"/>
      <c r="K155" s="1471">
        <f>SUM(K150:L154)</f>
        <v>0</v>
      </c>
      <c r="L155" s="1472"/>
      <c r="M155" s="254"/>
      <c r="N155" s="53"/>
    </row>
    <row r="156" spans="1:15" s="42" customFormat="1" ht="16.5" customHeight="1" x14ac:dyDescent="0.25">
      <c r="A156" s="254"/>
      <c r="B156" s="254"/>
      <c r="C156" s="254"/>
      <c r="D156" s="254"/>
      <c r="E156" s="254"/>
      <c r="F156" s="254"/>
      <c r="G156" s="254"/>
      <c r="H156" s="254"/>
      <c r="I156" s="254"/>
      <c r="J156" s="254"/>
      <c r="K156" s="254"/>
      <c r="L156" s="254"/>
      <c r="M156" s="254"/>
      <c r="N156" s="53"/>
    </row>
    <row r="157" spans="1:15" s="42" customFormat="1" ht="18" customHeight="1" x14ac:dyDescent="0.25">
      <c r="A157" s="254"/>
      <c r="B157" s="1494" t="s">
        <v>1531</v>
      </c>
      <c r="C157" s="1494"/>
      <c r="D157" s="81">
        <f>IFERROR(E155/C155,0)</f>
        <v>0</v>
      </c>
      <c r="E157" s="254"/>
      <c r="F157" s="254"/>
      <c r="G157" s="1494" t="s">
        <v>1532</v>
      </c>
      <c r="H157" s="1494"/>
      <c r="I157" s="1501">
        <f>IFERROR(K155/H155,0)</f>
        <v>0</v>
      </c>
      <c r="J157" s="1501"/>
      <c r="K157" s="254"/>
      <c r="L157" s="254"/>
      <c r="M157" s="254"/>
      <c r="N157" s="53"/>
    </row>
    <row r="158" spans="1:15" s="42" customFormat="1" ht="19.5" customHeight="1" x14ac:dyDescent="0.25">
      <c r="A158" s="254"/>
      <c r="B158" s="254"/>
      <c r="C158" s="254"/>
      <c r="D158" s="254"/>
      <c r="E158" s="254"/>
      <c r="F158" s="254"/>
      <c r="G158" s="254"/>
      <c r="H158" s="254"/>
      <c r="I158" s="254"/>
      <c r="J158" s="254"/>
      <c r="K158" s="254"/>
      <c r="L158" s="254"/>
      <c r="M158" s="254"/>
      <c r="N158" s="53"/>
    </row>
    <row r="159" spans="1:15" s="42" customFormat="1" ht="16.5" customHeight="1" x14ac:dyDescent="0.25">
      <c r="A159" s="1410" t="s">
        <v>200</v>
      </c>
      <c r="B159" s="1410"/>
      <c r="C159" s="1410"/>
      <c r="D159" s="254"/>
      <c r="E159" s="254"/>
      <c r="F159" s="254"/>
      <c r="G159" s="254"/>
      <c r="H159" s="254"/>
      <c r="I159" s="254"/>
      <c r="J159" s="254"/>
      <c r="K159" s="254"/>
      <c r="L159" s="254"/>
      <c r="M159" s="254"/>
      <c r="N159" s="53"/>
    </row>
    <row r="160" spans="1:15" s="42" customFormat="1" x14ac:dyDescent="0.25">
      <c r="A160" s="254"/>
      <c r="B160" s="254"/>
      <c r="C160" s="254"/>
      <c r="D160" s="254"/>
      <c r="E160" s="254"/>
      <c r="F160" s="254"/>
      <c r="G160" s="254"/>
      <c r="H160" s="254"/>
      <c r="I160" s="254"/>
      <c r="J160" s="254"/>
      <c r="K160" s="254"/>
      <c r="L160" s="254"/>
      <c r="M160" s="254"/>
      <c r="N160" s="53"/>
    </row>
    <row r="161" spans="1:14" s="42" customFormat="1" ht="18" customHeight="1" x14ac:dyDescent="0.25">
      <c r="A161" s="213"/>
      <c r="B161" s="1446" t="s">
        <v>2103</v>
      </c>
      <c r="C161" s="1447"/>
      <c r="D161" s="1447"/>
      <c r="E161" s="1447"/>
      <c r="F161" s="1447"/>
      <c r="G161" s="1045" t="s">
        <v>2101</v>
      </c>
      <c r="H161" s="1443" t="s">
        <v>2102</v>
      </c>
      <c r="I161" s="1444"/>
      <c r="J161" s="213"/>
      <c r="K161" s="213"/>
      <c r="L161" s="254"/>
      <c r="M161" s="254"/>
      <c r="N161" s="53"/>
    </row>
    <row r="162" spans="1:14" s="42" customFormat="1" ht="21" customHeight="1" x14ac:dyDescent="0.25">
      <c r="A162" s="213"/>
      <c r="B162" s="1436" t="s">
        <v>1308</v>
      </c>
      <c r="C162" s="1437"/>
      <c r="D162" s="1437"/>
      <c r="E162" s="1437"/>
      <c r="F162" s="1438"/>
      <c r="G162" s="518" t="s">
        <v>129</v>
      </c>
      <c r="H162" s="1441"/>
      <c r="I162" s="1442"/>
      <c r="J162" s="213"/>
      <c r="K162" s="213"/>
      <c r="L162" s="254"/>
      <c r="M162" s="254"/>
      <c r="N162" s="53"/>
    </row>
    <row r="163" spans="1:14" s="42" customFormat="1" ht="21" customHeight="1" x14ac:dyDescent="0.25">
      <c r="A163" s="213"/>
      <c r="B163" s="1436" t="s">
        <v>1309</v>
      </c>
      <c r="C163" s="1437"/>
      <c r="D163" s="1437"/>
      <c r="E163" s="1437"/>
      <c r="F163" s="1438"/>
      <c r="G163" s="518" t="s">
        <v>129</v>
      </c>
      <c r="H163" s="1441"/>
      <c r="I163" s="1442"/>
      <c r="J163" s="213"/>
      <c r="K163" s="213"/>
      <c r="L163" s="254"/>
      <c r="M163" s="254"/>
      <c r="N163" s="53"/>
    </row>
    <row r="164" spans="1:14" s="42" customFormat="1" ht="19.5" customHeight="1" x14ac:dyDescent="0.25">
      <c r="A164" s="213"/>
      <c r="B164" s="213"/>
      <c r="C164" s="213"/>
      <c r="D164" s="213"/>
      <c r="E164" s="213"/>
      <c r="F164" s="213"/>
      <c r="G164" s="213"/>
      <c r="H164" s="213"/>
      <c r="I164" s="213"/>
      <c r="J164" s="213"/>
      <c r="K164" s="213"/>
      <c r="L164" s="254"/>
      <c r="M164" s="254"/>
      <c r="N164" s="53"/>
    </row>
    <row r="165" spans="1:14" s="42" customFormat="1" ht="16.5" customHeight="1" x14ac:dyDescent="0.25">
      <c r="A165" s="1410" t="s">
        <v>25</v>
      </c>
      <c r="B165" s="1410"/>
      <c r="C165" s="1410"/>
      <c r="D165" s="213"/>
      <c r="E165" s="213"/>
      <c r="F165" s="213"/>
      <c r="G165" s="213"/>
      <c r="H165" s="213"/>
      <c r="I165" s="213"/>
      <c r="J165" s="213"/>
      <c r="K165" s="213"/>
      <c r="L165" s="254"/>
      <c r="M165" s="254"/>
      <c r="N165" s="53"/>
    </row>
    <row r="166" spans="1:14" s="42" customFormat="1" ht="16.5" customHeight="1" x14ac:dyDescent="0.25">
      <c r="A166" s="213"/>
      <c r="B166" s="213"/>
      <c r="C166" s="213"/>
      <c r="D166" s="213"/>
      <c r="E166" s="213"/>
      <c r="F166" s="213"/>
      <c r="G166" s="213"/>
      <c r="H166" s="213"/>
      <c r="I166" s="213"/>
      <c r="J166" s="213"/>
      <c r="K166" s="213"/>
      <c r="L166" s="254"/>
      <c r="M166" s="254"/>
      <c r="N166" s="53"/>
    </row>
    <row r="167" spans="1:14" s="42" customFormat="1" ht="18" customHeight="1" x14ac:dyDescent="0.25">
      <c r="A167" s="213"/>
      <c r="B167" s="192" t="s">
        <v>56</v>
      </c>
      <c r="C167" s="1190" t="str">
        <f>IF($D$11="Prescriptive Path",IF(AND(D157&gt;=0.95,I157&gt;=0.95),1,0),"/")</f>
        <v>/</v>
      </c>
      <c r="D167" s="213"/>
      <c r="E167" s="213"/>
      <c r="F167" s="213"/>
      <c r="G167" s="213"/>
      <c r="H167" s="213"/>
      <c r="I167" s="213"/>
      <c r="J167" s="213"/>
      <c r="K167" s="213"/>
      <c r="L167" s="254"/>
      <c r="M167" s="254"/>
      <c r="N167" s="53"/>
    </row>
    <row r="168" spans="1:14" s="42" customFormat="1" ht="18" customHeight="1" x14ac:dyDescent="0.25">
      <c r="A168" s="213"/>
      <c r="B168" s="192" t="s">
        <v>521</v>
      </c>
      <c r="C168" s="1190" t="str">
        <f>IF($D$11="Prescriptive Path",IF(COUNTIF(O150:O154,"Yes")&gt;0,IF(AND(G162="Submitted",G163="Submitted",C167&gt;0),"Yes","No"),IF(AND(G162="Submitted",C167&gt;0),"Yes","No")),"/")</f>
        <v>/</v>
      </c>
      <c r="D168" s="213"/>
      <c r="E168" s="213"/>
      <c r="F168" s="213"/>
      <c r="G168" s="213"/>
      <c r="H168" s="213"/>
      <c r="I168" s="213"/>
      <c r="J168" s="213"/>
      <c r="K168" s="213"/>
      <c r="L168" s="254"/>
      <c r="M168" s="254"/>
      <c r="N168" s="53"/>
    </row>
    <row r="169" spans="1:14" s="42" customFormat="1" ht="24" customHeight="1" x14ac:dyDescent="0.25">
      <c r="A169" s="213"/>
      <c r="B169" s="213"/>
      <c r="C169" s="213"/>
      <c r="D169" s="213"/>
      <c r="E169" s="213"/>
      <c r="F169" s="213"/>
      <c r="G169" s="213"/>
      <c r="H169" s="213"/>
      <c r="I169" s="213"/>
      <c r="J169" s="213"/>
      <c r="K169" s="213"/>
      <c r="L169" s="254"/>
      <c r="M169" s="254"/>
      <c r="N169" s="53"/>
    </row>
    <row r="170" spans="1:14" s="42" customFormat="1" ht="18" customHeight="1" x14ac:dyDescent="0.25">
      <c r="A170" s="1432" t="s">
        <v>15</v>
      </c>
      <c r="B170" s="1432"/>
      <c r="C170" s="1432"/>
      <c r="D170" s="1432"/>
      <c r="E170" s="1432"/>
      <c r="F170" s="1432"/>
      <c r="G170" s="1432"/>
      <c r="H170" s="1432"/>
      <c r="I170" s="1432"/>
      <c r="J170" s="1432"/>
      <c r="K170" s="1432"/>
      <c r="L170" s="1432"/>
      <c r="M170" s="1432"/>
      <c r="N170" s="53"/>
    </row>
    <row r="171" spans="1:14" s="42" customFormat="1" ht="18" customHeight="1" x14ac:dyDescent="0.25">
      <c r="A171" s="214"/>
      <c r="B171" s="214"/>
      <c r="C171" s="214"/>
      <c r="D171" s="214"/>
      <c r="E171" s="214"/>
      <c r="F171" s="214"/>
      <c r="G171" s="214"/>
      <c r="H171" s="214"/>
      <c r="I171" s="214"/>
      <c r="J171" s="214"/>
      <c r="K171" s="214"/>
      <c r="L171" s="214"/>
      <c r="M171" s="214"/>
      <c r="N171" s="53"/>
    </row>
    <row r="172" spans="1:14" s="42" customFormat="1" ht="18" customHeight="1" x14ac:dyDescent="0.25">
      <c r="A172" s="214"/>
      <c r="B172" s="214"/>
      <c r="C172" s="214"/>
      <c r="D172" s="214"/>
      <c r="E172" s="214"/>
      <c r="F172" s="214"/>
      <c r="G172" s="214"/>
      <c r="H172" s="214"/>
      <c r="I172" s="214"/>
      <c r="J172" s="214"/>
      <c r="K172" s="214"/>
      <c r="L172" s="214"/>
      <c r="M172" s="214"/>
      <c r="N172" s="53"/>
    </row>
    <row r="173" spans="1:14" s="42" customFormat="1" ht="18" customHeight="1" x14ac:dyDescent="0.25">
      <c r="A173" s="214"/>
      <c r="B173" s="214"/>
      <c r="C173" s="214"/>
      <c r="D173" s="214"/>
      <c r="E173" s="214"/>
      <c r="F173" s="214"/>
      <c r="G173" s="214"/>
      <c r="H173" s="214"/>
      <c r="I173" s="214"/>
      <c r="J173" s="214"/>
      <c r="K173" s="214"/>
      <c r="L173" s="214"/>
      <c r="M173" s="214"/>
      <c r="N173" s="53"/>
    </row>
    <row r="174" spans="1:14" ht="18" customHeight="1" x14ac:dyDescent="0.25">
      <c r="A174" s="1410" t="s">
        <v>571</v>
      </c>
      <c r="B174" s="1410"/>
      <c r="C174" s="1410"/>
      <c r="D174" s="1410"/>
      <c r="E174" s="1410"/>
      <c r="F174" s="1410"/>
      <c r="G174" s="1410"/>
      <c r="H174" s="1410"/>
      <c r="I174" s="1410"/>
      <c r="J174" s="1410"/>
      <c r="K174" s="1410"/>
      <c r="L174" s="1410"/>
      <c r="M174" s="1410"/>
      <c r="N174" s="5"/>
    </row>
    <row r="175" spans="1:14" ht="15.75" customHeight="1" x14ac:dyDescent="0.25">
      <c r="A175" s="279"/>
      <c r="B175" s="279"/>
      <c r="C175" s="279"/>
      <c r="D175" s="279"/>
      <c r="E175" s="279"/>
      <c r="F175" s="214"/>
      <c r="G175" s="214"/>
      <c r="H175" s="214"/>
      <c r="I175" s="214"/>
      <c r="J175" s="214"/>
      <c r="K175" s="214"/>
      <c r="L175" s="214"/>
      <c r="M175" s="214"/>
      <c r="N175" s="5"/>
    </row>
    <row r="176" spans="1:14" ht="15.75" customHeight="1" x14ac:dyDescent="0.25">
      <c r="A176" s="1410" t="s">
        <v>265</v>
      </c>
      <c r="B176" s="1410"/>
      <c r="C176" s="1410"/>
      <c r="D176" s="279"/>
      <c r="E176" s="279"/>
      <c r="F176" s="214"/>
      <c r="G176" s="214"/>
      <c r="H176" s="214"/>
      <c r="I176" s="214"/>
      <c r="J176" s="214"/>
      <c r="K176" s="214"/>
      <c r="L176" s="214"/>
      <c r="M176" s="214"/>
      <c r="N176" s="5"/>
    </row>
    <row r="177" spans="1:14" ht="15.75" customHeight="1" x14ac:dyDescent="0.25">
      <c r="A177" s="279"/>
      <c r="B177" s="279"/>
      <c r="C177" s="279"/>
      <c r="D177" s="279"/>
      <c r="E177" s="279"/>
      <c r="F177" s="214"/>
      <c r="G177" s="214"/>
      <c r="H177" s="214"/>
      <c r="I177" s="214"/>
      <c r="J177" s="214"/>
      <c r="K177" s="214"/>
      <c r="L177" s="214"/>
      <c r="M177" s="214"/>
      <c r="N177" s="5"/>
    </row>
    <row r="178" spans="1:14" ht="15.75" customHeight="1" x14ac:dyDescent="0.25">
      <c r="A178" s="279"/>
      <c r="B178" s="917" t="s">
        <v>1706</v>
      </c>
      <c r="C178" s="279"/>
      <c r="D178" s="279"/>
      <c r="E178" s="279"/>
      <c r="F178" s="214"/>
      <c r="G178" s="214"/>
      <c r="H178" s="214"/>
      <c r="I178" s="214"/>
      <c r="J178" s="214"/>
      <c r="K178" s="214"/>
      <c r="L178" s="214"/>
      <c r="M178" s="214"/>
      <c r="N178" s="5"/>
    </row>
    <row r="179" spans="1:14" ht="15.75" customHeight="1" x14ac:dyDescent="0.25">
      <c r="A179" s="279"/>
      <c r="B179" s="915" t="s">
        <v>1708</v>
      </c>
      <c r="C179" s="279"/>
      <c r="D179" s="279"/>
      <c r="E179" s="279"/>
      <c r="F179" s="214"/>
      <c r="G179" s="214"/>
      <c r="H179" s="214"/>
      <c r="I179" s="214"/>
      <c r="J179" s="214"/>
      <c r="K179" s="214"/>
      <c r="L179" s="214"/>
      <c r="M179" s="214"/>
      <c r="N179" s="5"/>
    </row>
    <row r="180" spans="1:14" ht="12" customHeight="1" x14ac:dyDescent="0.25">
      <c r="A180" s="279"/>
      <c r="B180" s="279"/>
      <c r="C180" s="279"/>
      <c r="D180" s="279"/>
      <c r="E180" s="279"/>
      <c r="F180" s="214"/>
      <c r="G180" s="214"/>
      <c r="H180" s="214"/>
      <c r="I180" s="214"/>
      <c r="J180" s="214"/>
      <c r="K180" s="214"/>
      <c r="L180" s="214"/>
      <c r="M180" s="214"/>
      <c r="N180" s="5"/>
    </row>
    <row r="181" spans="1:14" ht="15.75" customHeight="1" x14ac:dyDescent="0.25">
      <c r="A181" s="279"/>
      <c r="B181" s="915" t="s">
        <v>1707</v>
      </c>
      <c r="C181" s="279"/>
      <c r="D181" s="279"/>
      <c r="E181" s="279"/>
      <c r="F181" s="214"/>
      <c r="G181" s="214"/>
      <c r="H181" s="214"/>
      <c r="I181" s="214"/>
      <c r="J181" s="214"/>
      <c r="K181" s="214"/>
      <c r="L181" s="214"/>
      <c r="M181" s="214"/>
      <c r="N181" s="5"/>
    </row>
    <row r="182" spans="1:14" ht="15.75" customHeight="1" x14ac:dyDescent="0.25">
      <c r="A182" s="279"/>
      <c r="B182" s="916"/>
      <c r="C182" s="279"/>
      <c r="D182" s="279"/>
      <c r="E182" s="279"/>
      <c r="F182" s="214"/>
      <c r="G182" s="214"/>
      <c r="H182" s="214"/>
      <c r="I182" s="214"/>
      <c r="J182" s="214"/>
      <c r="K182" s="214"/>
      <c r="L182" s="214"/>
      <c r="M182" s="214"/>
      <c r="N182" s="5"/>
    </row>
    <row r="183" spans="1:14" ht="31.5" customHeight="1" x14ac:dyDescent="0.25">
      <c r="A183" s="251"/>
      <c r="B183" s="1503" t="s">
        <v>1709</v>
      </c>
      <c r="C183" s="1503"/>
      <c r="D183" s="1503"/>
      <c r="E183" s="1503"/>
      <c r="F183" s="1503"/>
      <c r="G183" s="1503"/>
      <c r="H183" s="1503"/>
      <c r="I183" s="214"/>
      <c r="J183" s="214"/>
      <c r="K183" s="214"/>
      <c r="L183" s="214"/>
      <c r="M183" s="214"/>
      <c r="N183" s="5"/>
    </row>
    <row r="184" spans="1:14" ht="7.5" customHeight="1" x14ac:dyDescent="0.25">
      <c r="A184" s="251"/>
      <c r="B184" s="251"/>
      <c r="C184" s="251"/>
      <c r="D184" s="251"/>
      <c r="E184" s="214"/>
      <c r="F184" s="214"/>
      <c r="G184" s="251"/>
      <c r="H184" s="214"/>
      <c r="I184" s="214"/>
      <c r="J184" s="214"/>
      <c r="K184" s="214"/>
      <c r="L184" s="214"/>
      <c r="M184" s="214"/>
      <c r="N184" s="5"/>
    </row>
    <row r="185" spans="1:14" ht="18" customHeight="1" x14ac:dyDescent="0.25">
      <c r="A185" s="214"/>
      <c r="B185" s="405" t="s">
        <v>1713</v>
      </c>
      <c r="C185" s="433" t="s">
        <v>1710</v>
      </c>
      <c r="D185" s="434" t="s">
        <v>1711</v>
      </c>
      <c r="E185" s="214"/>
      <c r="F185" s="405" t="s">
        <v>830</v>
      </c>
      <c r="G185" s="433" t="s">
        <v>1710</v>
      </c>
      <c r="H185" s="434" t="s">
        <v>1712</v>
      </c>
      <c r="I185" s="214"/>
      <c r="J185" s="214"/>
      <c r="K185" s="214"/>
      <c r="L185" s="214"/>
      <c r="M185" s="214"/>
      <c r="N185" s="5"/>
    </row>
    <row r="186" spans="1:14" x14ac:dyDescent="0.25">
      <c r="A186" s="214"/>
      <c r="B186" s="905"/>
      <c r="C186" s="905"/>
      <c r="D186" s="918"/>
      <c r="E186" s="919"/>
      <c r="F186" s="905"/>
      <c r="G186" s="905"/>
      <c r="H186" s="918"/>
      <c r="I186" s="214"/>
      <c r="J186" s="214"/>
      <c r="K186" s="214"/>
      <c r="L186" s="214"/>
      <c r="M186" s="214"/>
      <c r="N186" s="5"/>
    </row>
    <row r="187" spans="1:14" x14ac:dyDescent="0.25">
      <c r="A187" s="214"/>
      <c r="B187" s="906"/>
      <c r="C187" s="905"/>
      <c r="D187" s="920"/>
      <c r="E187" s="919"/>
      <c r="F187" s="906"/>
      <c r="G187" s="906"/>
      <c r="H187" s="920"/>
      <c r="I187" s="214"/>
      <c r="J187" s="214"/>
      <c r="K187" s="214"/>
      <c r="L187" s="214"/>
      <c r="M187" s="214"/>
      <c r="N187" s="5"/>
    </row>
    <row r="188" spans="1:14" x14ac:dyDescent="0.25">
      <c r="A188" s="214"/>
      <c r="B188" s="906"/>
      <c r="C188" s="905"/>
      <c r="D188" s="920"/>
      <c r="E188" s="919"/>
      <c r="F188" s="906"/>
      <c r="G188" s="906"/>
      <c r="H188" s="920"/>
      <c r="I188" s="214"/>
      <c r="J188" s="214"/>
      <c r="K188" s="214"/>
      <c r="L188" s="214"/>
      <c r="M188" s="214"/>
      <c r="N188" s="5"/>
    </row>
    <row r="189" spans="1:14" x14ac:dyDescent="0.25">
      <c r="A189" s="214"/>
      <c r="B189" s="906"/>
      <c r="C189" s="905"/>
      <c r="D189" s="920"/>
      <c r="E189" s="919"/>
      <c r="F189" s="906"/>
      <c r="G189" s="906"/>
      <c r="H189" s="920"/>
      <c r="I189" s="214"/>
      <c r="J189" s="214"/>
      <c r="K189" s="214"/>
      <c r="L189" s="214"/>
      <c r="M189" s="214"/>
      <c r="N189" s="5"/>
    </row>
    <row r="190" spans="1:14" x14ac:dyDescent="0.25">
      <c r="A190" s="214"/>
      <c r="B190" s="906"/>
      <c r="C190" s="905"/>
      <c r="D190" s="920"/>
      <c r="E190" s="919"/>
      <c r="F190" s="906"/>
      <c r="G190" s="906"/>
      <c r="H190" s="920"/>
      <c r="I190" s="214"/>
      <c r="J190" s="214"/>
      <c r="K190" s="214"/>
      <c r="L190" s="214"/>
      <c r="M190" s="214"/>
      <c r="N190" s="5"/>
    </row>
    <row r="191" spans="1:14" x14ac:dyDescent="0.25">
      <c r="A191" s="214"/>
      <c r="B191" s="906"/>
      <c r="C191" s="905"/>
      <c r="D191" s="920"/>
      <c r="E191" s="919"/>
      <c r="F191" s="906"/>
      <c r="G191" s="906"/>
      <c r="H191" s="920"/>
      <c r="I191" s="214"/>
      <c r="J191" s="214"/>
      <c r="K191" s="214"/>
      <c r="L191" s="214"/>
      <c r="M191" s="214"/>
      <c r="N191" s="5"/>
    </row>
    <row r="192" spans="1:14" x14ac:dyDescent="0.25">
      <c r="A192" s="214"/>
      <c r="B192" s="906"/>
      <c r="C192" s="905"/>
      <c r="D192" s="920"/>
      <c r="E192" s="919"/>
      <c r="F192" s="906"/>
      <c r="G192" s="906"/>
      <c r="H192" s="920"/>
      <c r="I192" s="214"/>
      <c r="J192" s="214"/>
      <c r="K192" s="214"/>
      <c r="L192" s="214"/>
      <c r="M192" s="214"/>
      <c r="N192" s="5"/>
    </row>
    <row r="193" spans="1:14" x14ac:dyDescent="0.25">
      <c r="A193" s="214"/>
      <c r="B193" s="922" t="s">
        <v>1714</v>
      </c>
      <c r="C193" s="1086">
        <f>IFERROR(SUMPRODUCT(C186:C192,D186:D192)/SUM(D186:D192),0)</f>
        <v>0</v>
      </c>
      <c r="D193" s="921">
        <f>SUM(D186:D192)</f>
        <v>0</v>
      </c>
      <c r="E193" s="919"/>
      <c r="F193" s="922" t="s">
        <v>1714</v>
      </c>
      <c r="G193" s="1086">
        <f>IFERROR(SUMPRODUCT(G186:G192,H186:H192)/SUM(H186:H192),0)</f>
        <v>0</v>
      </c>
      <c r="H193" s="921">
        <f>SUM(H186:H192)</f>
        <v>0</v>
      </c>
      <c r="I193" s="214"/>
      <c r="J193" s="214"/>
      <c r="K193" s="214"/>
      <c r="L193" s="214"/>
      <c r="M193" s="214"/>
      <c r="N193" s="5"/>
    </row>
    <row r="194" spans="1:14" x14ac:dyDescent="0.25">
      <c r="A194" s="214"/>
      <c r="B194" s="214"/>
      <c r="C194" s="214"/>
      <c r="D194" s="214"/>
      <c r="E194" s="214"/>
      <c r="F194" s="214"/>
      <c r="G194" s="214"/>
      <c r="H194" s="214"/>
      <c r="I194" s="214"/>
      <c r="J194" s="214"/>
      <c r="K194" s="214"/>
      <c r="L194" s="214"/>
      <c r="M194" s="214"/>
      <c r="N194" s="5"/>
    </row>
    <row r="195" spans="1:14" ht="18" customHeight="1" x14ac:dyDescent="0.25">
      <c r="A195" s="214"/>
      <c r="B195" s="1502" t="s">
        <v>2105</v>
      </c>
      <c r="C195" s="1502"/>
      <c r="D195" s="1502"/>
      <c r="E195" s="441" t="str">
        <f>IFERROR((SUMPRODUCT(C186:C192,D186:D192)+SUMPRODUCT(G186:G192,H186:H192))/SUM(D186:D192,H186:H192),"")</f>
        <v/>
      </c>
      <c r="F195" s="214"/>
      <c r="G195" s="214"/>
      <c r="H195" s="214"/>
      <c r="I195" s="214"/>
      <c r="J195" s="214"/>
      <c r="K195" s="214"/>
      <c r="L195" s="214"/>
      <c r="M195" s="214"/>
      <c r="N195" s="5"/>
    </row>
    <row r="196" spans="1:14" ht="18" customHeight="1" x14ac:dyDescent="0.25">
      <c r="A196" s="214"/>
      <c r="B196" s="1502" t="s">
        <v>147</v>
      </c>
      <c r="C196" s="1502"/>
      <c r="D196" s="1502"/>
      <c r="E196" s="442" t="str">
        <f>IFERROR(1-E195/((1.8*SUM(D186:D192)+1*SUM(H186:H192))/(SUM(D186:D192)+SUM(H186:H192))),"")</f>
        <v/>
      </c>
      <c r="F196" s="214"/>
      <c r="G196" s="214"/>
      <c r="H196" s="214"/>
      <c r="I196" s="214"/>
      <c r="J196" s="214"/>
      <c r="K196" s="214"/>
      <c r="L196" s="214"/>
      <c r="M196" s="214"/>
      <c r="N196" s="5"/>
    </row>
    <row r="197" spans="1:14" s="42" customFormat="1" ht="16.5" customHeight="1" x14ac:dyDescent="0.25">
      <c r="A197" s="214"/>
      <c r="B197" s="214"/>
      <c r="C197" s="214"/>
      <c r="D197" s="214"/>
      <c r="E197" s="214"/>
      <c r="F197" s="214"/>
      <c r="G197" s="214"/>
      <c r="H197" s="214"/>
      <c r="I197" s="214"/>
      <c r="J197" s="214"/>
      <c r="K197" s="214"/>
      <c r="L197" s="214"/>
      <c r="M197" s="214"/>
      <c r="N197" s="53"/>
    </row>
    <row r="198" spans="1:14" s="42" customFormat="1" ht="16.5" customHeight="1" x14ac:dyDescent="0.25">
      <c r="A198" s="1410" t="s">
        <v>200</v>
      </c>
      <c r="B198" s="1410"/>
      <c r="C198" s="1410"/>
      <c r="D198" s="214"/>
      <c r="E198" s="214"/>
      <c r="F198" s="214"/>
      <c r="G198" s="214"/>
      <c r="H198" s="214"/>
      <c r="I198" s="214"/>
      <c r="J198" s="214"/>
      <c r="K198" s="214"/>
      <c r="L198" s="214"/>
      <c r="M198" s="214"/>
      <c r="N198" s="53"/>
    </row>
    <row r="199" spans="1:14" s="42" customFormat="1" ht="12" customHeight="1" x14ac:dyDescent="0.25">
      <c r="A199" s="214"/>
      <c r="B199" s="214"/>
      <c r="C199" s="214"/>
      <c r="D199" s="214"/>
      <c r="E199" s="214"/>
      <c r="F199" s="214"/>
      <c r="G199" s="214"/>
      <c r="H199" s="214"/>
      <c r="I199" s="214"/>
      <c r="J199" s="214"/>
      <c r="K199" s="214"/>
      <c r="L199" s="214"/>
      <c r="M199" s="214"/>
      <c r="N199" s="53"/>
    </row>
    <row r="200" spans="1:14" s="42" customFormat="1" ht="18" customHeight="1" x14ac:dyDescent="0.25">
      <c r="A200" s="214"/>
      <c r="B200" s="1446" t="s">
        <v>2103</v>
      </c>
      <c r="C200" s="1447"/>
      <c r="D200" s="1447"/>
      <c r="E200" s="1447"/>
      <c r="F200" s="1447"/>
      <c r="G200" s="1045" t="s">
        <v>2101</v>
      </c>
      <c r="H200" s="1443" t="s">
        <v>2102</v>
      </c>
      <c r="I200" s="1444"/>
      <c r="J200" s="214"/>
      <c r="K200" s="214"/>
      <c r="L200" s="214"/>
      <c r="M200" s="214"/>
      <c r="N200" s="53"/>
    </row>
    <row r="201" spans="1:14" s="42" customFormat="1" ht="21" customHeight="1" x14ac:dyDescent="0.25">
      <c r="A201" s="214"/>
      <c r="B201" s="1436" t="s">
        <v>1310</v>
      </c>
      <c r="C201" s="1437"/>
      <c r="D201" s="1437"/>
      <c r="E201" s="1437"/>
      <c r="F201" s="1438"/>
      <c r="G201" s="518" t="s">
        <v>129</v>
      </c>
      <c r="H201" s="1441"/>
      <c r="I201" s="1442"/>
      <c r="J201" s="214"/>
      <c r="K201" s="214"/>
      <c r="L201" s="214"/>
      <c r="M201" s="214"/>
      <c r="N201" s="53"/>
    </row>
    <row r="202" spans="1:14" s="42" customFormat="1" ht="21" customHeight="1" x14ac:dyDescent="0.25">
      <c r="A202" s="214"/>
      <c r="B202" s="1436" t="s">
        <v>1311</v>
      </c>
      <c r="C202" s="1437"/>
      <c r="D202" s="1437"/>
      <c r="E202" s="1437"/>
      <c r="F202" s="1438"/>
      <c r="G202" s="518" t="s">
        <v>129</v>
      </c>
      <c r="H202" s="1441"/>
      <c r="I202" s="1442"/>
      <c r="J202" s="214"/>
      <c r="K202" s="214"/>
      <c r="L202" s="214"/>
      <c r="M202" s="214"/>
      <c r="N202" s="53"/>
    </row>
    <row r="203" spans="1:14" s="42" customFormat="1" ht="16.5" customHeight="1" x14ac:dyDescent="0.25">
      <c r="A203" s="214"/>
      <c r="B203" s="214"/>
      <c r="C203" s="214"/>
      <c r="D203" s="214"/>
      <c r="E203" s="214"/>
      <c r="F203" s="214"/>
      <c r="G203" s="214"/>
      <c r="H203" s="214"/>
      <c r="I203" s="214"/>
      <c r="J203" s="214"/>
      <c r="K203" s="214"/>
      <c r="L203" s="214"/>
      <c r="M203" s="214"/>
      <c r="N203" s="53"/>
    </row>
    <row r="204" spans="1:14" s="42" customFormat="1" ht="16.5" customHeight="1" x14ac:dyDescent="0.25">
      <c r="A204" s="1410" t="s">
        <v>25</v>
      </c>
      <c r="B204" s="1410"/>
      <c r="C204" s="1410"/>
      <c r="D204" s="214"/>
      <c r="E204" s="214"/>
      <c r="F204" s="214"/>
      <c r="G204" s="214"/>
      <c r="H204" s="214"/>
      <c r="I204" s="214"/>
      <c r="J204" s="214"/>
      <c r="K204" s="214"/>
      <c r="L204" s="214"/>
      <c r="M204" s="214"/>
      <c r="N204" s="53"/>
    </row>
    <row r="205" spans="1:14" s="42" customFormat="1" ht="16.5" customHeight="1" x14ac:dyDescent="0.25">
      <c r="A205" s="214"/>
      <c r="B205" s="214"/>
      <c r="C205" s="214"/>
      <c r="D205" s="214"/>
      <c r="E205" s="214"/>
      <c r="F205" s="214"/>
      <c r="G205" s="214"/>
      <c r="H205" s="214"/>
      <c r="I205" s="214"/>
      <c r="J205" s="214"/>
      <c r="K205" s="214"/>
      <c r="L205" s="214"/>
      <c r="M205" s="214"/>
      <c r="N205" s="53"/>
    </row>
    <row r="206" spans="1:14" s="42" customFormat="1" ht="18" customHeight="1" x14ac:dyDescent="0.25">
      <c r="A206" s="214"/>
      <c r="B206" s="192" t="s">
        <v>56</v>
      </c>
      <c r="C206" s="1190" t="str">
        <f>IF($D$11="Performance Path",IF(E196="",0,IF(E196&gt;=0.4,2,IF(E196&gt;=0.2,1,0))),"/")</f>
        <v>/</v>
      </c>
      <c r="D206" s="214"/>
      <c r="E206" s="214"/>
      <c r="F206" s="214"/>
      <c r="G206" s="214"/>
      <c r="H206" s="214"/>
      <c r="I206" s="214"/>
      <c r="J206" s="214"/>
      <c r="K206" s="214"/>
      <c r="L206" s="214"/>
      <c r="M206" s="214"/>
      <c r="N206" s="53"/>
    </row>
    <row r="207" spans="1:14" s="42" customFormat="1" ht="18" customHeight="1" x14ac:dyDescent="0.25">
      <c r="A207" s="214"/>
      <c r="B207" s="192" t="s">
        <v>521</v>
      </c>
      <c r="C207" s="1190" t="str">
        <f>IF($D$11="Performance Path",IF(AND(G201="Submitted",G202="Submitted",C206&gt;0),"Yes","No"),"/")</f>
        <v>/</v>
      </c>
      <c r="D207" s="214"/>
      <c r="E207" s="214"/>
      <c r="F207" s="214"/>
      <c r="G207" s="214"/>
      <c r="H207" s="214"/>
      <c r="I207" s="214"/>
      <c r="J207" s="214"/>
      <c r="K207" s="214"/>
      <c r="L207" s="214"/>
      <c r="M207" s="214"/>
      <c r="N207" s="53"/>
    </row>
    <row r="208" spans="1:14" s="42" customFormat="1" ht="18" customHeight="1" x14ac:dyDescent="0.25">
      <c r="A208" s="214"/>
      <c r="B208" s="214"/>
      <c r="C208" s="214"/>
      <c r="D208" s="214"/>
      <c r="E208" s="214"/>
      <c r="F208" s="214"/>
      <c r="G208" s="214"/>
      <c r="H208" s="214"/>
      <c r="I208" s="214"/>
      <c r="J208" s="214"/>
      <c r="K208" s="214"/>
      <c r="L208" s="214"/>
      <c r="M208" s="214"/>
      <c r="N208" s="53"/>
    </row>
    <row r="209" spans="1:14" ht="18" customHeight="1" x14ac:dyDescent="0.25">
      <c r="A209" s="1410" t="s">
        <v>572</v>
      </c>
      <c r="B209" s="1410"/>
      <c r="C209" s="1410"/>
      <c r="D209" s="1410"/>
      <c r="E209" s="1410"/>
      <c r="F209" s="1410"/>
      <c r="G209" s="1410"/>
      <c r="H209" s="1410"/>
      <c r="I209" s="1410"/>
      <c r="J209" s="1410"/>
      <c r="K209" s="1410"/>
      <c r="L209" s="1410"/>
      <c r="M209" s="1410"/>
      <c r="N209" s="5"/>
    </row>
    <row r="210" spans="1:14" s="42" customFormat="1" ht="16.5" customHeight="1" x14ac:dyDescent="0.25">
      <c r="A210" s="214"/>
      <c r="B210" s="214"/>
      <c r="C210" s="214"/>
      <c r="D210" s="214"/>
      <c r="E210" s="214"/>
      <c r="F210" s="214"/>
      <c r="G210" s="214"/>
      <c r="H210" s="214"/>
      <c r="I210" s="214"/>
      <c r="J210" s="214"/>
      <c r="K210" s="214"/>
      <c r="L210" s="214"/>
      <c r="M210" s="214"/>
      <c r="N210" s="53"/>
    </row>
    <row r="211" spans="1:14" s="42" customFormat="1" ht="16.5" customHeight="1" x14ac:dyDescent="0.25">
      <c r="A211" s="1410" t="s">
        <v>265</v>
      </c>
      <c r="B211" s="1410"/>
      <c r="C211" s="1410"/>
      <c r="D211" s="214"/>
      <c r="E211" s="214"/>
      <c r="F211" s="214"/>
      <c r="G211" s="214"/>
      <c r="H211" s="214"/>
      <c r="I211" s="214"/>
      <c r="J211" s="214"/>
      <c r="K211" s="214"/>
      <c r="L211" s="214"/>
      <c r="M211" s="214"/>
      <c r="N211" s="53"/>
    </row>
    <row r="212" spans="1:14" s="42" customFormat="1" ht="16.5" customHeight="1" x14ac:dyDescent="0.25">
      <c r="A212" s="214"/>
      <c r="B212" s="214"/>
      <c r="C212" s="214"/>
      <c r="D212" s="214"/>
      <c r="E212" s="214"/>
      <c r="F212" s="214"/>
      <c r="G212" s="214"/>
      <c r="H212" s="214"/>
      <c r="I212" s="214"/>
      <c r="J212" s="214"/>
      <c r="K212" s="214"/>
      <c r="L212" s="214"/>
      <c r="M212" s="214"/>
      <c r="N212" s="53"/>
    </row>
    <row r="213" spans="1:14" s="42" customFormat="1" ht="16.5" customHeight="1" x14ac:dyDescent="0.25">
      <c r="A213" s="214"/>
      <c r="B213" s="935" t="s">
        <v>1803</v>
      </c>
      <c r="C213" s="214"/>
      <c r="D213" s="214"/>
      <c r="E213" s="214"/>
      <c r="F213" s="214"/>
      <c r="G213" s="214"/>
      <c r="H213" s="214"/>
      <c r="I213" s="214"/>
      <c r="J213" s="214"/>
      <c r="K213" s="214"/>
      <c r="L213" s="214"/>
      <c r="M213" s="214"/>
      <c r="N213" s="53"/>
    </row>
    <row r="214" spans="1:14" s="42" customFormat="1" ht="16.5" customHeight="1" x14ac:dyDescent="0.25">
      <c r="A214" s="214"/>
      <c r="B214" s="214"/>
      <c r="C214" s="214"/>
      <c r="D214" s="214"/>
      <c r="E214" s="214"/>
      <c r="F214" s="214"/>
      <c r="G214" s="214"/>
      <c r="H214" s="214"/>
      <c r="I214" s="214"/>
      <c r="J214" s="214"/>
      <c r="K214" s="214"/>
      <c r="L214" s="214"/>
      <c r="M214" s="214"/>
      <c r="N214" s="53"/>
    </row>
    <row r="215" spans="1:14" s="42" customFormat="1" ht="16.5" customHeight="1" x14ac:dyDescent="0.25">
      <c r="A215" s="214"/>
      <c r="B215" s="1117" t="s">
        <v>2127</v>
      </c>
      <c r="C215" s="1118"/>
      <c r="D215" s="1118"/>
      <c r="E215" s="1118"/>
      <c r="F215" s="1118"/>
      <c r="G215" s="1118"/>
      <c r="H215" s="1118"/>
      <c r="I215" s="1118"/>
      <c r="J215" s="1118"/>
      <c r="K215" s="1119"/>
      <c r="L215" s="214"/>
      <c r="M215" s="214"/>
      <c r="N215" s="53"/>
    </row>
    <row r="216" spans="1:14" s="42" customFormat="1" ht="21" customHeight="1" x14ac:dyDescent="0.25">
      <c r="A216" s="214"/>
      <c r="B216" s="1508" t="s">
        <v>2128</v>
      </c>
      <c r="C216" s="1509"/>
      <c r="D216" s="1509"/>
      <c r="E216" s="1509"/>
      <c r="F216" s="1509"/>
      <c r="G216" s="1509"/>
      <c r="H216" s="1509"/>
      <c r="I216" s="1509"/>
      <c r="J216" s="1509"/>
      <c r="K216" s="1510"/>
      <c r="L216" s="214"/>
      <c r="M216" s="214"/>
      <c r="N216" s="53"/>
    </row>
    <row r="217" spans="1:14" s="42" customFormat="1" ht="21" customHeight="1" x14ac:dyDescent="0.25">
      <c r="A217" s="214"/>
      <c r="B217" s="1511"/>
      <c r="C217" s="1512"/>
      <c r="D217" s="1512"/>
      <c r="E217" s="1512"/>
      <c r="F217" s="1512"/>
      <c r="G217" s="1512"/>
      <c r="H217" s="1512"/>
      <c r="I217" s="1512"/>
      <c r="J217" s="1512"/>
      <c r="K217" s="1513"/>
      <c r="L217" s="214"/>
      <c r="M217" s="214"/>
      <c r="N217" s="53"/>
    </row>
    <row r="218" spans="1:14" s="42" customFormat="1" ht="16.5" customHeight="1" x14ac:dyDescent="0.25">
      <c r="A218" s="214"/>
      <c r="B218" s="214"/>
      <c r="C218" s="214"/>
      <c r="D218" s="214"/>
      <c r="E218" s="214"/>
      <c r="F218" s="214"/>
      <c r="G218" s="214"/>
      <c r="H218" s="214"/>
      <c r="I218" s="214"/>
      <c r="J218" s="214"/>
      <c r="K218" s="214"/>
      <c r="L218" s="214"/>
      <c r="M218" s="214"/>
      <c r="N218" s="53"/>
    </row>
    <row r="219" spans="1:14" s="42" customFormat="1" ht="16.5" customHeight="1" x14ac:dyDescent="0.25">
      <c r="A219" s="214"/>
      <c r="B219" s="1507" t="s">
        <v>1805</v>
      </c>
      <c r="C219" s="1507"/>
      <c r="D219" s="1507"/>
      <c r="E219" s="1507"/>
      <c r="F219" s="1507"/>
      <c r="G219" s="1507"/>
      <c r="H219" s="1507"/>
      <c r="I219" s="1507"/>
      <c r="J219" s="1507"/>
      <c r="K219" s="214"/>
      <c r="L219" s="214"/>
      <c r="M219" s="214"/>
      <c r="N219" s="53"/>
    </row>
    <row r="220" spans="1:14" s="42" customFormat="1" ht="16.5" customHeight="1" x14ac:dyDescent="0.25">
      <c r="A220" s="214"/>
      <c r="B220" s="1505" t="s">
        <v>890</v>
      </c>
      <c r="C220" s="1504" t="s">
        <v>887</v>
      </c>
      <c r="D220" s="1504"/>
      <c r="E220" s="1504"/>
      <c r="F220" s="1504"/>
      <c r="G220" s="1504"/>
      <c r="H220" s="1504"/>
      <c r="I220" s="1504"/>
      <c r="J220" s="1504"/>
      <c r="K220" s="1504"/>
      <c r="L220" s="214"/>
      <c r="M220" s="214"/>
      <c r="N220" s="53"/>
    </row>
    <row r="221" spans="1:14" s="42" customFormat="1" ht="16.5" customHeight="1" x14ac:dyDescent="0.25">
      <c r="A221" s="214"/>
      <c r="B221" s="1506"/>
      <c r="C221" s="936" t="s">
        <v>892</v>
      </c>
      <c r="D221" s="937" t="s">
        <v>368</v>
      </c>
      <c r="E221" s="937" t="s">
        <v>891</v>
      </c>
      <c r="F221" s="936" t="s">
        <v>893</v>
      </c>
      <c r="G221" s="936" t="s">
        <v>894</v>
      </c>
      <c r="H221" s="936" t="s">
        <v>895</v>
      </c>
      <c r="I221" s="936" t="s">
        <v>896</v>
      </c>
      <c r="J221" s="1504" t="s">
        <v>897</v>
      </c>
      <c r="K221" s="1504"/>
      <c r="L221" s="214"/>
      <c r="M221" s="214"/>
      <c r="N221" s="53"/>
    </row>
    <row r="222" spans="1:14" s="42" customFormat="1" ht="16.5" customHeight="1" x14ac:dyDescent="0.25">
      <c r="A222" s="214"/>
      <c r="B222" s="938">
        <v>20</v>
      </c>
      <c r="C222" s="938">
        <v>0.9</v>
      </c>
      <c r="D222" s="938">
        <v>0.8</v>
      </c>
      <c r="E222" s="938">
        <v>0.8</v>
      </c>
      <c r="F222" s="910">
        <v>0.86</v>
      </c>
      <c r="G222" s="910">
        <v>0.86</v>
      </c>
      <c r="H222" s="910">
        <v>0.86</v>
      </c>
      <c r="I222" s="910">
        <v>0.86</v>
      </c>
      <c r="J222" s="1518">
        <v>0.9</v>
      </c>
      <c r="K222" s="1518"/>
      <c r="L222" s="214"/>
      <c r="M222" s="214"/>
      <c r="N222" s="53"/>
    </row>
    <row r="223" spans="1:14" s="42" customFormat="1" ht="16.5" customHeight="1" x14ac:dyDescent="0.25">
      <c r="A223" s="214"/>
      <c r="B223" s="938">
        <v>30</v>
      </c>
      <c r="C223" s="938">
        <v>0.64</v>
      </c>
      <c r="D223" s="938">
        <v>0.57999999999999996</v>
      </c>
      <c r="E223" s="938">
        <v>0.57999999999999996</v>
      </c>
      <c r="F223" s="910">
        <v>0.63</v>
      </c>
      <c r="G223" s="910">
        <v>0.63</v>
      </c>
      <c r="H223" s="910">
        <v>0.63</v>
      </c>
      <c r="I223" s="910">
        <v>0.63</v>
      </c>
      <c r="J223" s="1518">
        <v>0.7</v>
      </c>
      <c r="K223" s="1518"/>
      <c r="L223" s="214"/>
      <c r="M223" s="214"/>
      <c r="N223" s="53"/>
    </row>
    <row r="224" spans="1:14" s="42" customFormat="1" ht="16.5" customHeight="1" x14ac:dyDescent="0.25">
      <c r="A224" s="214"/>
      <c r="B224" s="938">
        <v>40</v>
      </c>
      <c r="C224" s="938">
        <v>0.5</v>
      </c>
      <c r="D224" s="938">
        <v>0.46</v>
      </c>
      <c r="E224" s="938">
        <v>0.46</v>
      </c>
      <c r="F224" s="910">
        <v>0.49</v>
      </c>
      <c r="G224" s="910">
        <v>0.49</v>
      </c>
      <c r="H224" s="910">
        <v>0.49</v>
      </c>
      <c r="I224" s="910">
        <v>0.49</v>
      </c>
      <c r="J224" s="1518">
        <v>0.56000000000000005</v>
      </c>
      <c r="K224" s="1518"/>
      <c r="L224" s="214"/>
      <c r="M224" s="214"/>
      <c r="N224" s="53"/>
    </row>
    <row r="225" spans="1:30" s="42" customFormat="1" ht="16.5" customHeight="1" x14ac:dyDescent="0.25">
      <c r="A225" s="214"/>
      <c r="B225" s="938">
        <v>50</v>
      </c>
      <c r="C225" s="938">
        <v>0.4</v>
      </c>
      <c r="D225" s="938">
        <v>0.38</v>
      </c>
      <c r="E225" s="938">
        <v>0.38</v>
      </c>
      <c r="F225" s="910">
        <v>0.4</v>
      </c>
      <c r="G225" s="910">
        <v>0.4</v>
      </c>
      <c r="H225" s="910">
        <v>0.4</v>
      </c>
      <c r="I225" s="910">
        <v>0.4</v>
      </c>
      <c r="J225" s="1518">
        <v>0.45</v>
      </c>
      <c r="K225" s="1518"/>
      <c r="L225" s="214"/>
      <c r="M225" s="214"/>
      <c r="N225" s="53"/>
    </row>
    <row r="226" spans="1:30" s="42" customFormat="1" ht="16.5" customHeight="1" x14ac:dyDescent="0.25">
      <c r="A226" s="214"/>
      <c r="B226" s="938">
        <v>60</v>
      </c>
      <c r="C226" s="938">
        <v>0.33</v>
      </c>
      <c r="D226" s="938">
        <v>0.32</v>
      </c>
      <c r="E226" s="938">
        <v>0.32</v>
      </c>
      <c r="F226" s="910">
        <v>0.34</v>
      </c>
      <c r="G226" s="910">
        <v>0.34</v>
      </c>
      <c r="H226" s="910">
        <v>0.34</v>
      </c>
      <c r="I226" s="910">
        <v>0.34</v>
      </c>
      <c r="J226" s="1518">
        <v>0.39</v>
      </c>
      <c r="K226" s="1518"/>
      <c r="L226" s="214"/>
      <c r="M226" s="214"/>
      <c r="N226" s="53"/>
    </row>
    <row r="227" spans="1:30" s="42" customFormat="1" ht="16.5" customHeight="1" x14ac:dyDescent="0.25">
      <c r="A227" s="214"/>
      <c r="B227" s="938">
        <v>70</v>
      </c>
      <c r="C227" s="938">
        <v>0.27</v>
      </c>
      <c r="D227" s="938">
        <v>0.27</v>
      </c>
      <c r="E227" s="938">
        <v>0.27</v>
      </c>
      <c r="F227" s="910">
        <v>0.28999999999999998</v>
      </c>
      <c r="G227" s="910">
        <v>0.28999999999999998</v>
      </c>
      <c r="H227" s="910">
        <v>0.28999999999999998</v>
      </c>
      <c r="I227" s="910">
        <v>0.28999999999999998</v>
      </c>
      <c r="J227" s="1518">
        <v>0.33</v>
      </c>
      <c r="K227" s="1518"/>
      <c r="L227" s="214"/>
      <c r="M227" s="214"/>
      <c r="N227" s="53"/>
    </row>
    <row r="228" spans="1:30" s="42" customFormat="1" ht="16.5" customHeight="1" x14ac:dyDescent="0.25">
      <c r="A228" s="214"/>
      <c r="B228" s="938">
        <v>80</v>
      </c>
      <c r="C228" s="938">
        <v>0.23</v>
      </c>
      <c r="D228" s="938">
        <v>0.23</v>
      </c>
      <c r="E228" s="938">
        <v>0.23</v>
      </c>
      <c r="F228" s="910">
        <v>0.25</v>
      </c>
      <c r="G228" s="910">
        <v>0.25</v>
      </c>
      <c r="H228" s="910">
        <v>0.25</v>
      </c>
      <c r="I228" s="910">
        <v>0.25</v>
      </c>
      <c r="J228" s="1518">
        <v>0.28000000000000003</v>
      </c>
      <c r="K228" s="1518"/>
      <c r="L228" s="214"/>
      <c r="M228" s="214"/>
      <c r="N228" s="53"/>
    </row>
    <row r="229" spans="1:30" s="42" customFormat="1" ht="16.5" customHeight="1" x14ac:dyDescent="0.25">
      <c r="A229" s="214"/>
      <c r="B229" s="938">
        <v>90</v>
      </c>
      <c r="C229" s="938">
        <v>0.2</v>
      </c>
      <c r="D229" s="938">
        <v>0.2</v>
      </c>
      <c r="E229" s="938">
        <v>0.2</v>
      </c>
      <c r="F229" s="910">
        <v>0.21</v>
      </c>
      <c r="G229" s="910">
        <v>0.21</v>
      </c>
      <c r="H229" s="910">
        <v>0.21</v>
      </c>
      <c r="I229" s="910">
        <v>0.21</v>
      </c>
      <c r="J229" s="1518">
        <v>0.25</v>
      </c>
      <c r="K229" s="1518"/>
      <c r="L229" s="214"/>
      <c r="M229" s="214"/>
      <c r="N229" s="53"/>
    </row>
    <row r="230" spans="1:30" s="42" customFormat="1" ht="16.5" customHeight="1" x14ac:dyDescent="0.25">
      <c r="A230" s="214"/>
      <c r="B230" s="938">
        <v>100</v>
      </c>
      <c r="C230" s="938">
        <v>0.17</v>
      </c>
      <c r="D230" s="938">
        <v>0.18</v>
      </c>
      <c r="E230" s="938">
        <v>0.18</v>
      </c>
      <c r="F230" s="910">
        <v>0.19</v>
      </c>
      <c r="G230" s="910">
        <v>0.19</v>
      </c>
      <c r="H230" s="910">
        <v>0.19</v>
      </c>
      <c r="I230" s="910">
        <v>0.19</v>
      </c>
      <c r="J230" s="1518">
        <v>0.22</v>
      </c>
      <c r="K230" s="1518"/>
      <c r="L230" s="214"/>
      <c r="M230" s="214"/>
      <c r="N230" s="53"/>
    </row>
    <row r="231" spans="1:30" s="42" customFormat="1" ht="16.5" customHeight="1" x14ac:dyDescent="0.25">
      <c r="A231" s="214"/>
      <c r="B231" s="214"/>
      <c r="C231" s="214"/>
      <c r="D231" s="214"/>
      <c r="E231" s="214"/>
      <c r="F231" s="214"/>
      <c r="G231" s="214"/>
      <c r="H231" s="214"/>
      <c r="I231" s="214"/>
      <c r="J231" s="214"/>
      <c r="K231" s="214"/>
      <c r="L231" s="214"/>
      <c r="M231" s="214"/>
      <c r="N231" s="53"/>
    </row>
    <row r="232" spans="1:30" s="42" customFormat="1" ht="16.5" customHeight="1" thickBot="1" x14ac:dyDescent="0.3">
      <c r="A232" s="214"/>
      <c r="B232" s="923" t="s">
        <v>2106</v>
      </c>
      <c r="C232" s="214"/>
      <c r="D232" s="214"/>
      <c r="E232" s="214"/>
      <c r="F232" s="214"/>
      <c r="G232" s="214"/>
      <c r="H232" s="214"/>
      <c r="I232" s="214"/>
      <c r="J232" s="214"/>
      <c r="K232" s="214"/>
      <c r="L232" s="214"/>
      <c r="M232" s="214"/>
      <c r="N232" s="53"/>
    </row>
    <row r="233" spans="1:30" s="42" customFormat="1" ht="9.75" customHeight="1" thickBot="1" x14ac:dyDescent="0.3">
      <c r="A233" s="214"/>
      <c r="B233" s="214"/>
      <c r="C233" s="214"/>
      <c r="D233" s="214"/>
      <c r="E233" s="214"/>
      <c r="F233" s="214"/>
      <c r="G233" s="214"/>
      <c r="H233" s="214"/>
      <c r="I233" s="214"/>
      <c r="J233" s="214"/>
      <c r="K233" s="214"/>
      <c r="L233" s="214"/>
      <c r="M233" s="214"/>
      <c r="N233" s="53"/>
      <c r="V233" s="490" t="s">
        <v>886</v>
      </c>
      <c r="W233" s="1514" t="s">
        <v>887</v>
      </c>
      <c r="X233" s="1515"/>
      <c r="Y233" s="1515"/>
      <c r="Z233" s="1516"/>
    </row>
    <row r="234" spans="1:30" ht="24.75" customHeight="1" thickBot="1" x14ac:dyDescent="0.3">
      <c r="A234" s="214"/>
      <c r="B234" s="1121" t="s">
        <v>2139</v>
      </c>
      <c r="C234" s="482" t="s">
        <v>883</v>
      </c>
      <c r="D234" s="482" t="s">
        <v>1804</v>
      </c>
      <c r="E234" s="1013" t="s">
        <v>1711</v>
      </c>
      <c r="F234" s="1013" t="s">
        <v>890</v>
      </c>
      <c r="G234" s="482" t="s">
        <v>903</v>
      </c>
      <c r="H234" s="482" t="s">
        <v>884</v>
      </c>
      <c r="I234" s="483" t="s">
        <v>885</v>
      </c>
      <c r="J234" s="214"/>
      <c r="K234" s="214"/>
      <c r="L234" s="214"/>
      <c r="M234" s="214"/>
      <c r="N234" s="13"/>
      <c r="O234" t="s">
        <v>888</v>
      </c>
      <c r="P234" t="s">
        <v>889</v>
      </c>
      <c r="Q234" t="s">
        <v>900</v>
      </c>
      <c r="R234" t="s">
        <v>901</v>
      </c>
      <c r="S234" t="s">
        <v>902</v>
      </c>
      <c r="T234" t="s">
        <v>898</v>
      </c>
      <c r="U234" t="s">
        <v>899</v>
      </c>
      <c r="V234" s="491" t="s">
        <v>129</v>
      </c>
      <c r="W234" s="492" t="s">
        <v>892</v>
      </c>
      <c r="X234" s="493" t="s">
        <v>368</v>
      </c>
      <c r="Y234" s="493" t="s">
        <v>891</v>
      </c>
      <c r="Z234" s="494" t="s">
        <v>893</v>
      </c>
      <c r="AA234" s="494" t="s">
        <v>894</v>
      </c>
      <c r="AB234" s="494" t="s">
        <v>895</v>
      </c>
      <c r="AC234" s="494" t="s">
        <v>896</v>
      </c>
      <c r="AD234" s="494" t="s">
        <v>897</v>
      </c>
    </row>
    <row r="235" spans="1:30" ht="15.75" thickBot="1" x14ac:dyDescent="0.3">
      <c r="A235" s="214"/>
      <c r="B235" s="487"/>
      <c r="C235" s="487" t="s">
        <v>129</v>
      </c>
      <c r="D235" s="488"/>
      <c r="E235" s="487"/>
      <c r="F235" s="498" t="str">
        <f t="shared" ref="F235:F244" si="2">IFERROR(D235/E235,"")</f>
        <v/>
      </c>
      <c r="G235" s="487"/>
      <c r="H235" s="487"/>
      <c r="I235" s="501" t="str">
        <f t="shared" ref="I235:I244" si="3">IFERROR(IF(O235=P235,AVERAGE(T235:U235)/G235,T235+(F235-O235/100)*(U235-T235)/(P235/100-O235/100)/G235),"")</f>
        <v/>
      </c>
      <c r="J235" s="214"/>
      <c r="K235" s="214"/>
      <c r="L235" s="214"/>
      <c r="M235" s="214"/>
      <c r="N235" s="13"/>
      <c r="O235" t="str">
        <f t="shared" ref="O235:O244" si="4">IF(OR(F235="",F235="Select"),"",IF(F235&lt;0.2,20,IF(F235&lt;0.3,20,IF(F235&lt;0.4,30,IF(F235&lt;0.5,40,IF(F235&lt;0.6,50,IF(F235&lt;0.7,60,IF(F235&lt;0.8,70,IF(F235&lt;0.9,80,90)))))))))</f>
        <v/>
      </c>
      <c r="P235" t="str">
        <f t="shared" ref="P235:P244" si="5">IF(OR(F235="",F235="Select"),"",IF(F235&lt;=0.2,20,IF(F235&lt;=0.3,30,IF(F235&lt;=0.4,40,IF(F235&lt;=0.5,50,IF(F235&lt;=0.6,60,IF(F235&lt;=0.7,70,IF(F235&lt;=0.8,80,IF(F235&lt;=0.9,90,100)))))))))</f>
        <v/>
      </c>
      <c r="Q235">
        <f t="shared" ref="Q235:Q244" si="6">MATCH(C235,$V$234:$AD$234,0)</f>
        <v>1</v>
      </c>
      <c r="R235" t="e">
        <f t="shared" ref="R235:S238" si="7">MATCH(O235,$V$234:$V$247,0)</f>
        <v>#N/A</v>
      </c>
      <c r="S235" t="e">
        <f t="shared" si="7"/>
        <v>#N/A</v>
      </c>
      <c r="T235" t="e">
        <f>INDEX($V$234:$AD$247,R235,Q235)</f>
        <v>#N/A</v>
      </c>
      <c r="U235" t="e">
        <f>INDEX($V$234:$AD$247,S235,Q235)</f>
        <v>#N/A</v>
      </c>
      <c r="V235" s="495">
        <v>20</v>
      </c>
      <c r="W235" s="496">
        <v>0.9</v>
      </c>
      <c r="X235" s="496">
        <v>0.8</v>
      </c>
      <c r="Y235" s="496">
        <v>0.8</v>
      </c>
      <c r="Z235" s="497">
        <v>0.86</v>
      </c>
      <c r="AA235" s="497">
        <v>0.86</v>
      </c>
      <c r="AB235" s="497">
        <v>0.86</v>
      </c>
      <c r="AC235" s="497">
        <v>0.86</v>
      </c>
      <c r="AD235" s="497">
        <v>0.9</v>
      </c>
    </row>
    <row r="236" spans="1:30" ht="15.75" thickBot="1" x14ac:dyDescent="0.3">
      <c r="A236" s="214"/>
      <c r="B236" s="487"/>
      <c r="C236" s="487" t="s">
        <v>129</v>
      </c>
      <c r="D236" s="488"/>
      <c r="E236" s="487"/>
      <c r="F236" s="498" t="str">
        <f t="shared" si="2"/>
        <v/>
      </c>
      <c r="G236" s="487"/>
      <c r="H236" s="487"/>
      <c r="I236" s="501" t="str">
        <f t="shared" si="3"/>
        <v/>
      </c>
      <c r="J236" s="214"/>
      <c r="K236" s="214"/>
      <c r="L236" s="214"/>
      <c r="M236" s="214"/>
      <c r="N236" s="13"/>
      <c r="O236" t="str">
        <f t="shared" si="4"/>
        <v/>
      </c>
      <c r="P236" t="str">
        <f t="shared" si="5"/>
        <v/>
      </c>
      <c r="Q236">
        <f t="shared" si="6"/>
        <v>1</v>
      </c>
      <c r="R236" t="e">
        <f t="shared" si="7"/>
        <v>#N/A</v>
      </c>
      <c r="S236" t="e">
        <f t="shared" si="7"/>
        <v>#N/A</v>
      </c>
      <c r="T236" t="e">
        <f>INDEX($V$234:$AD$247,R236,Q236)</f>
        <v>#N/A</v>
      </c>
      <c r="U236" t="e">
        <f>INDEX($V$234:$AD$247,S236,Q236)</f>
        <v>#N/A</v>
      </c>
      <c r="V236" s="495">
        <v>30</v>
      </c>
      <c r="W236" s="496">
        <v>0.64</v>
      </c>
      <c r="X236" s="496">
        <v>0.57999999999999996</v>
      </c>
      <c r="Y236" s="496">
        <v>0.57999999999999996</v>
      </c>
      <c r="Z236" s="497">
        <v>0.63</v>
      </c>
      <c r="AA236" s="497">
        <v>0.63</v>
      </c>
      <c r="AB236" s="497">
        <v>0.63</v>
      </c>
      <c r="AC236" s="497">
        <v>0.63</v>
      </c>
      <c r="AD236" s="497">
        <v>0.7</v>
      </c>
    </row>
    <row r="237" spans="1:30" ht="15.75" thickBot="1" x14ac:dyDescent="0.3">
      <c r="A237" s="214"/>
      <c r="B237" s="487"/>
      <c r="C237" s="487" t="s">
        <v>129</v>
      </c>
      <c r="D237" s="488"/>
      <c r="E237" s="487"/>
      <c r="F237" s="498" t="str">
        <f t="shared" si="2"/>
        <v/>
      </c>
      <c r="G237" s="487"/>
      <c r="H237" s="487"/>
      <c r="I237" s="501" t="str">
        <f t="shared" si="3"/>
        <v/>
      </c>
      <c r="J237" s="214"/>
      <c r="K237" s="214"/>
      <c r="L237" s="214"/>
      <c r="M237" s="214"/>
      <c r="N237" s="13"/>
      <c r="O237" t="str">
        <f t="shared" si="4"/>
        <v/>
      </c>
      <c r="P237" t="str">
        <f t="shared" si="5"/>
        <v/>
      </c>
      <c r="Q237">
        <f t="shared" si="6"/>
        <v>1</v>
      </c>
      <c r="R237" t="e">
        <f t="shared" si="7"/>
        <v>#N/A</v>
      </c>
      <c r="S237" t="e">
        <f t="shared" si="7"/>
        <v>#N/A</v>
      </c>
      <c r="T237" t="e">
        <f>INDEX($V$234:$AD$247,R237,Q237)</f>
        <v>#N/A</v>
      </c>
      <c r="U237" t="e">
        <f>INDEX($V$234:$AD$247,S237,Q237)</f>
        <v>#N/A</v>
      </c>
      <c r="V237" s="495">
        <v>40</v>
      </c>
      <c r="W237" s="496">
        <v>0.5</v>
      </c>
      <c r="X237" s="496">
        <v>0.46</v>
      </c>
      <c r="Y237" s="496">
        <v>0.46</v>
      </c>
      <c r="Z237" s="497">
        <v>0.49</v>
      </c>
      <c r="AA237" s="497">
        <v>0.49</v>
      </c>
      <c r="AB237" s="497">
        <v>0.49</v>
      </c>
      <c r="AC237" s="497">
        <v>0.49</v>
      </c>
      <c r="AD237" s="497">
        <v>0.56000000000000005</v>
      </c>
    </row>
    <row r="238" spans="1:30" ht="15.75" thickBot="1" x14ac:dyDescent="0.3">
      <c r="A238" s="214"/>
      <c r="B238" s="487"/>
      <c r="C238" s="487" t="s">
        <v>129</v>
      </c>
      <c r="D238" s="488"/>
      <c r="E238" s="487"/>
      <c r="F238" s="498" t="str">
        <f t="shared" si="2"/>
        <v/>
      </c>
      <c r="G238" s="487"/>
      <c r="H238" s="487"/>
      <c r="I238" s="501" t="str">
        <f t="shared" si="3"/>
        <v/>
      </c>
      <c r="J238" s="214"/>
      <c r="K238" s="214"/>
      <c r="L238" s="214"/>
      <c r="M238" s="214"/>
      <c r="N238" s="13"/>
      <c r="O238" t="str">
        <f t="shared" si="4"/>
        <v/>
      </c>
      <c r="P238" t="str">
        <f t="shared" si="5"/>
        <v/>
      </c>
      <c r="Q238">
        <f t="shared" si="6"/>
        <v>1</v>
      </c>
      <c r="R238" t="e">
        <f t="shared" si="7"/>
        <v>#N/A</v>
      </c>
      <c r="S238" t="e">
        <f t="shared" si="7"/>
        <v>#N/A</v>
      </c>
      <c r="T238" t="e">
        <f>INDEX($V$234:$AD$247,R238,Q238)</f>
        <v>#N/A</v>
      </c>
      <c r="U238" t="e">
        <f>INDEX($V$234:$AD$247,S238,Q238)</f>
        <v>#N/A</v>
      </c>
      <c r="V238" s="495">
        <v>50</v>
      </c>
      <c r="W238" s="496">
        <v>0.4</v>
      </c>
      <c r="X238" s="496">
        <v>0.38</v>
      </c>
      <c r="Y238" s="496">
        <v>0.38</v>
      </c>
      <c r="Z238" s="497">
        <v>0.4</v>
      </c>
      <c r="AA238" s="497">
        <v>0.4</v>
      </c>
      <c r="AB238" s="497">
        <v>0.4</v>
      </c>
      <c r="AC238" s="497">
        <v>0.4</v>
      </c>
      <c r="AD238" s="497">
        <v>0.45</v>
      </c>
    </row>
    <row r="239" spans="1:30" ht="15.75" thickBot="1" x14ac:dyDescent="0.3">
      <c r="A239" s="214"/>
      <c r="B239" s="1123"/>
      <c r="C239" s="1123" t="s">
        <v>129</v>
      </c>
      <c r="D239" s="488"/>
      <c r="E239" s="1123"/>
      <c r="F239" s="498" t="str">
        <f t="shared" ref="F239:F242" si="8">IFERROR(D239/E239,"")</f>
        <v/>
      </c>
      <c r="G239" s="1123"/>
      <c r="H239" s="1123"/>
      <c r="I239" s="501" t="str">
        <f t="shared" ref="I239:I242" si="9">IFERROR(IF(O239=P239,AVERAGE(T239:U239)/G239,T239+(F239-O239/100)*(U239-T239)/(P239/100-O239/100)/G239),"")</f>
        <v/>
      </c>
      <c r="J239" s="214"/>
      <c r="K239" s="214"/>
      <c r="L239" s="214"/>
      <c r="M239" s="214"/>
      <c r="N239" s="13"/>
      <c r="V239" s="495"/>
      <c r="W239" s="496"/>
      <c r="X239" s="496"/>
      <c r="Y239" s="496"/>
      <c r="Z239" s="497"/>
      <c r="AA239" s="497"/>
      <c r="AB239" s="497"/>
      <c r="AC239" s="497"/>
      <c r="AD239" s="497"/>
    </row>
    <row r="240" spans="1:30" ht="15.75" thickBot="1" x14ac:dyDescent="0.3">
      <c r="A240" s="214"/>
      <c r="B240" s="1123"/>
      <c r="C240" s="1123" t="s">
        <v>129</v>
      </c>
      <c r="D240" s="488"/>
      <c r="E240" s="1123"/>
      <c r="F240" s="498" t="str">
        <f t="shared" si="8"/>
        <v/>
      </c>
      <c r="G240" s="1123"/>
      <c r="H240" s="1123"/>
      <c r="I240" s="501" t="str">
        <f t="shared" si="9"/>
        <v/>
      </c>
      <c r="J240" s="214"/>
      <c r="K240" s="214"/>
      <c r="L240" s="214"/>
      <c r="M240" s="214"/>
      <c r="N240" s="13"/>
      <c r="V240" s="495"/>
      <c r="W240" s="496"/>
      <c r="X240" s="496"/>
      <c r="Y240" s="496"/>
      <c r="Z240" s="497"/>
      <c r="AA240" s="497"/>
      <c r="AB240" s="497"/>
      <c r="AC240" s="497"/>
      <c r="AD240" s="497"/>
    </row>
    <row r="241" spans="1:31" ht="15.75" thickBot="1" x14ac:dyDescent="0.3">
      <c r="A241" s="214"/>
      <c r="B241" s="1123"/>
      <c r="C241" s="1123" t="s">
        <v>129</v>
      </c>
      <c r="D241" s="488"/>
      <c r="E241" s="1123"/>
      <c r="F241" s="498" t="str">
        <f t="shared" si="8"/>
        <v/>
      </c>
      <c r="G241" s="1123"/>
      <c r="H241" s="1123"/>
      <c r="I241" s="501" t="str">
        <f t="shared" si="9"/>
        <v/>
      </c>
      <c r="J241" s="214"/>
      <c r="K241" s="214"/>
      <c r="L241" s="214"/>
      <c r="M241" s="214"/>
      <c r="N241" s="13"/>
      <c r="V241" s="495"/>
      <c r="W241" s="496"/>
      <c r="X241" s="496"/>
      <c r="Y241" s="496"/>
      <c r="Z241" s="497"/>
      <c r="AA241" s="497"/>
      <c r="AB241" s="497"/>
      <c r="AC241" s="497"/>
      <c r="AD241" s="497"/>
    </row>
    <row r="242" spans="1:31" ht="15.75" thickBot="1" x14ac:dyDescent="0.3">
      <c r="A242" s="214"/>
      <c r="B242" s="1123"/>
      <c r="C242" s="1123" t="s">
        <v>129</v>
      </c>
      <c r="D242" s="488"/>
      <c r="E242" s="1123"/>
      <c r="F242" s="498" t="str">
        <f t="shared" si="8"/>
        <v/>
      </c>
      <c r="G242" s="1123"/>
      <c r="H242" s="1123"/>
      <c r="I242" s="501" t="str">
        <f t="shared" si="9"/>
        <v/>
      </c>
      <c r="J242" s="214"/>
      <c r="K242" s="214"/>
      <c r="L242" s="214"/>
      <c r="M242" s="214"/>
      <c r="N242" s="13"/>
      <c r="V242" s="495"/>
      <c r="W242" s="496"/>
      <c r="X242" s="496"/>
      <c r="Y242" s="496"/>
      <c r="Z242" s="497"/>
      <c r="AA242" s="497"/>
      <c r="AB242" s="497"/>
      <c r="AC242" s="497"/>
      <c r="AD242" s="497"/>
    </row>
    <row r="243" spans="1:31" ht="15.75" thickBot="1" x14ac:dyDescent="0.3">
      <c r="A243" s="214"/>
      <c r="B243" s="487"/>
      <c r="C243" s="487" t="s">
        <v>129</v>
      </c>
      <c r="D243" s="488"/>
      <c r="E243" s="487"/>
      <c r="F243" s="498" t="str">
        <f t="shared" si="2"/>
        <v/>
      </c>
      <c r="G243" s="487"/>
      <c r="H243" s="487"/>
      <c r="I243" s="501" t="str">
        <f t="shared" si="3"/>
        <v/>
      </c>
      <c r="J243" s="214"/>
      <c r="K243" s="214"/>
      <c r="L243" s="214"/>
      <c r="M243" s="214"/>
      <c r="N243" s="13"/>
      <c r="O243" t="str">
        <f t="shared" si="4"/>
        <v/>
      </c>
      <c r="P243" t="str">
        <f t="shared" si="5"/>
        <v/>
      </c>
      <c r="Q243">
        <f t="shared" si="6"/>
        <v>1</v>
      </c>
      <c r="R243" t="e">
        <f>MATCH(O243,$V$234:$V$247,0)</f>
        <v>#N/A</v>
      </c>
      <c r="S243" t="e">
        <f>MATCH(P243,$V$234:$V$247,0)</f>
        <v>#N/A</v>
      </c>
      <c r="T243" t="e">
        <f>INDEX($V$234:$AD$247,R243,Q243)</f>
        <v>#N/A</v>
      </c>
      <c r="U243" t="e">
        <f>INDEX($V$234:$AD$247,S243,Q243)</f>
        <v>#N/A</v>
      </c>
      <c r="V243" s="495">
        <v>60</v>
      </c>
      <c r="W243" s="496">
        <v>0.33</v>
      </c>
      <c r="X243" s="496">
        <v>0.32</v>
      </c>
      <c r="Y243" s="496">
        <v>0.32</v>
      </c>
      <c r="Z243" s="497">
        <v>0.34</v>
      </c>
      <c r="AA243" s="497">
        <v>0.34</v>
      </c>
      <c r="AB243" s="497">
        <v>0.34</v>
      </c>
      <c r="AC243" s="497">
        <v>0.34</v>
      </c>
      <c r="AD243" s="497">
        <v>0.39</v>
      </c>
    </row>
    <row r="244" spans="1:31" ht="15.75" thickBot="1" x14ac:dyDescent="0.3">
      <c r="A244" s="214"/>
      <c r="B244" s="487"/>
      <c r="C244" s="487" t="s">
        <v>129</v>
      </c>
      <c r="D244" s="488"/>
      <c r="E244" s="487"/>
      <c r="F244" s="498" t="str">
        <f t="shared" si="2"/>
        <v/>
      </c>
      <c r="G244" s="487"/>
      <c r="H244" s="487"/>
      <c r="I244" s="501" t="str">
        <f t="shared" si="3"/>
        <v/>
      </c>
      <c r="J244" s="214"/>
      <c r="K244" s="214"/>
      <c r="L244" s="214"/>
      <c r="M244" s="214"/>
      <c r="N244" s="13"/>
      <c r="O244" t="str">
        <f t="shared" si="4"/>
        <v/>
      </c>
      <c r="P244" t="str">
        <f t="shared" si="5"/>
        <v/>
      </c>
      <c r="Q244">
        <f t="shared" si="6"/>
        <v>1</v>
      </c>
      <c r="R244" t="e">
        <f>MATCH(O244,$V$234:$V$247,0)</f>
        <v>#N/A</v>
      </c>
      <c r="S244" t="e">
        <f>MATCH(P244,$V$234:$V$247,0)</f>
        <v>#N/A</v>
      </c>
      <c r="T244" t="e">
        <f>INDEX($V$234:$AD$247,R244,Q244)</f>
        <v>#N/A</v>
      </c>
      <c r="U244" t="e">
        <f>INDEX($V$234:$AD$247,S244,Q244)</f>
        <v>#N/A</v>
      </c>
      <c r="V244" s="495">
        <v>70</v>
      </c>
      <c r="W244" s="496">
        <v>0.27</v>
      </c>
      <c r="X244" s="496">
        <v>0.27</v>
      </c>
      <c r="Y244" s="496">
        <v>0.27</v>
      </c>
      <c r="Z244" s="497">
        <v>0.28999999999999998</v>
      </c>
      <c r="AA244" s="497">
        <v>0.28999999999999998</v>
      </c>
      <c r="AB244" s="497">
        <v>0.28999999999999998</v>
      </c>
      <c r="AC244" s="497">
        <v>0.28999999999999998</v>
      </c>
      <c r="AD244" s="497">
        <v>0.33</v>
      </c>
    </row>
    <row r="245" spans="1:31" ht="16.5" customHeight="1" thickBot="1" x14ac:dyDescent="0.3">
      <c r="A245" s="214"/>
      <c r="B245" s="214"/>
      <c r="C245" s="214"/>
      <c r="D245" s="214"/>
      <c r="E245" s="214"/>
      <c r="F245" s="214"/>
      <c r="G245" s="214"/>
      <c r="H245" s="214"/>
      <c r="I245" s="214"/>
      <c r="J245" s="214"/>
      <c r="K245" s="214"/>
      <c r="L245" s="214"/>
      <c r="M245" s="214"/>
      <c r="N245" s="13"/>
      <c r="V245" s="495">
        <v>80</v>
      </c>
      <c r="W245" s="496">
        <v>0.23</v>
      </c>
      <c r="X245" s="496">
        <v>0.23</v>
      </c>
      <c r="Y245" s="496">
        <v>0.23</v>
      </c>
      <c r="Z245" s="497">
        <v>0.25</v>
      </c>
      <c r="AA245" s="497">
        <v>0.25</v>
      </c>
      <c r="AB245" s="497">
        <v>0.25</v>
      </c>
      <c r="AC245" s="497">
        <v>0.25</v>
      </c>
      <c r="AD245" s="497">
        <v>0.28000000000000003</v>
      </c>
      <c r="AE245" s="42"/>
    </row>
    <row r="246" spans="1:31" ht="18" customHeight="1" thickBot="1" x14ac:dyDescent="0.3">
      <c r="A246" s="214"/>
      <c r="B246" s="1517" t="s">
        <v>53</v>
      </c>
      <c r="C246" s="1517"/>
      <c r="D246" s="499" t="str">
        <f>IFERROR(SUMPRODUCT(H235:H244,D235:D244)/SUM(D235:D244),"")</f>
        <v/>
      </c>
      <c r="E246" s="214"/>
      <c r="F246" s="214"/>
      <c r="G246" s="214"/>
      <c r="H246" s="214"/>
      <c r="I246" s="214"/>
      <c r="J246" s="214"/>
      <c r="K246" s="214"/>
      <c r="L246" s="214"/>
      <c r="M246" s="214"/>
      <c r="N246" s="13"/>
      <c r="V246" s="495">
        <v>90</v>
      </c>
      <c r="W246" s="496">
        <v>0.2</v>
      </c>
      <c r="X246" s="496">
        <v>0.2</v>
      </c>
      <c r="Y246" s="496">
        <v>0.2</v>
      </c>
      <c r="Z246" s="497">
        <v>0.21</v>
      </c>
      <c r="AA246" s="497">
        <v>0.21</v>
      </c>
      <c r="AB246" s="497">
        <v>0.21</v>
      </c>
      <c r="AC246" s="497">
        <v>0.21</v>
      </c>
      <c r="AD246" s="497">
        <v>0.25</v>
      </c>
      <c r="AE246" s="42"/>
    </row>
    <row r="247" spans="1:31" s="42" customFormat="1" ht="18" customHeight="1" thickBot="1" x14ac:dyDescent="0.3">
      <c r="A247" s="214"/>
      <c r="B247" s="1517" t="s">
        <v>904</v>
      </c>
      <c r="C247" s="1517"/>
      <c r="D247" s="499" t="str">
        <f>IFERROR(SUMPRODUCT(I235:I244,D235:D244)/SUM(D235:D244),"")</f>
        <v/>
      </c>
      <c r="E247" s="214"/>
      <c r="F247" s="214"/>
      <c r="G247" s="214"/>
      <c r="H247" s="214"/>
      <c r="I247" s="214"/>
      <c r="J247" s="214"/>
      <c r="K247" s="214"/>
      <c r="L247" s="214"/>
      <c r="M247" s="214"/>
      <c r="N247" s="53"/>
      <c r="V247" s="495">
        <v>100</v>
      </c>
      <c r="W247" s="496">
        <v>0.17</v>
      </c>
      <c r="X247" s="496">
        <v>0.18</v>
      </c>
      <c r="Y247" s="496">
        <v>0.18</v>
      </c>
      <c r="Z247" s="497">
        <v>0.19</v>
      </c>
      <c r="AA247" s="497">
        <v>0.19</v>
      </c>
      <c r="AB247" s="497">
        <v>0.19</v>
      </c>
      <c r="AC247" s="497">
        <v>0.19</v>
      </c>
      <c r="AD247" s="497">
        <v>0.22</v>
      </c>
    </row>
    <row r="248" spans="1:31" s="42" customFormat="1" ht="18" customHeight="1" x14ac:dyDescent="0.25">
      <c r="A248" s="214"/>
      <c r="B248" s="1517" t="s">
        <v>905</v>
      </c>
      <c r="C248" s="1517"/>
      <c r="D248" s="500" t="str">
        <f>IFERROR(1-D246/D247,"")</f>
        <v/>
      </c>
      <c r="E248" s="214"/>
      <c r="F248" s="214"/>
      <c r="G248" s="214"/>
      <c r="H248" s="214"/>
      <c r="I248" s="214"/>
      <c r="J248" s="214"/>
      <c r="K248" s="214"/>
      <c r="L248" s="214"/>
      <c r="M248" s="214"/>
      <c r="N248" s="53"/>
    </row>
    <row r="249" spans="1:31" s="42" customFormat="1" ht="18" customHeight="1" x14ac:dyDescent="0.25">
      <c r="A249" s="214"/>
      <c r="B249" s="214"/>
      <c r="C249" s="214"/>
      <c r="D249" s="214"/>
      <c r="E249" s="214"/>
      <c r="F249" s="214"/>
      <c r="G249" s="214"/>
      <c r="H249" s="214"/>
      <c r="I249" s="214"/>
      <c r="J249" s="214"/>
      <c r="K249" s="214"/>
      <c r="L249" s="214"/>
      <c r="M249" s="214"/>
      <c r="N249" s="53"/>
    </row>
    <row r="250" spans="1:31" s="42" customFormat="1" ht="16.5" customHeight="1" x14ac:dyDescent="0.25">
      <c r="A250" s="1410" t="s">
        <v>200</v>
      </c>
      <c r="B250" s="1410"/>
      <c r="C250" s="1410"/>
      <c r="D250" s="214"/>
      <c r="E250" s="214"/>
      <c r="F250" s="214"/>
      <c r="G250" s="214"/>
      <c r="H250" s="214"/>
      <c r="I250" s="214"/>
      <c r="J250" s="214"/>
      <c r="K250" s="214"/>
      <c r="L250" s="214"/>
      <c r="M250" s="214"/>
      <c r="N250" s="53"/>
    </row>
    <row r="251" spans="1:31" s="42" customFormat="1" ht="16.5" customHeight="1" x14ac:dyDescent="0.25">
      <c r="A251" s="214"/>
      <c r="B251" s="214"/>
      <c r="C251" s="214"/>
      <c r="D251" s="214"/>
      <c r="E251" s="214"/>
      <c r="F251" s="214"/>
      <c r="G251" s="214"/>
      <c r="H251" s="214"/>
      <c r="I251" s="214"/>
      <c r="J251" s="214"/>
      <c r="K251" s="214"/>
      <c r="L251" s="214"/>
      <c r="M251" s="214"/>
      <c r="N251" s="53"/>
    </row>
    <row r="252" spans="1:31" s="42" customFormat="1" ht="18" customHeight="1" x14ac:dyDescent="0.25">
      <c r="A252" s="214"/>
      <c r="B252" s="1446" t="s">
        <v>2103</v>
      </c>
      <c r="C252" s="1447"/>
      <c r="D252" s="1447"/>
      <c r="E252" s="1447"/>
      <c r="F252" s="1447"/>
      <c r="G252" s="1045" t="s">
        <v>2101</v>
      </c>
      <c r="H252" s="1443" t="s">
        <v>2102</v>
      </c>
      <c r="I252" s="1444"/>
      <c r="J252" s="214"/>
      <c r="K252" s="214"/>
      <c r="L252" s="214"/>
      <c r="M252" s="214"/>
      <c r="N252" s="53"/>
    </row>
    <row r="253" spans="1:31" s="42" customFormat="1" ht="24" customHeight="1" x14ac:dyDescent="0.25">
      <c r="A253" s="214"/>
      <c r="B253" s="1436" t="s">
        <v>1312</v>
      </c>
      <c r="C253" s="1437"/>
      <c r="D253" s="1437"/>
      <c r="E253" s="1437"/>
      <c r="F253" s="1438"/>
      <c r="G253" s="518" t="s">
        <v>129</v>
      </c>
      <c r="H253" s="1441"/>
      <c r="I253" s="1442"/>
      <c r="J253" s="214"/>
      <c r="K253" s="214"/>
      <c r="L253" s="214"/>
      <c r="M253" s="214"/>
      <c r="N253" s="53"/>
    </row>
    <row r="254" spans="1:31" s="42" customFormat="1" ht="24" customHeight="1" x14ac:dyDescent="0.25">
      <c r="A254" s="214"/>
      <c r="B254" s="1436" t="s">
        <v>1313</v>
      </c>
      <c r="C254" s="1437"/>
      <c r="D254" s="1437"/>
      <c r="E254" s="1437"/>
      <c r="F254" s="1438"/>
      <c r="G254" s="518" t="s">
        <v>129</v>
      </c>
      <c r="H254" s="1441"/>
      <c r="I254" s="1442"/>
      <c r="J254" s="214"/>
      <c r="K254" s="214"/>
      <c r="L254" s="214"/>
      <c r="M254" s="214"/>
      <c r="N254" s="53"/>
    </row>
    <row r="255" spans="1:31" s="42" customFormat="1" ht="18" customHeight="1" x14ac:dyDescent="0.25">
      <c r="A255" s="214"/>
      <c r="B255" s="214"/>
      <c r="C255" s="214"/>
      <c r="D255" s="214"/>
      <c r="E255" s="214"/>
      <c r="F255" s="214"/>
      <c r="G255" s="214"/>
      <c r="H255" s="214"/>
      <c r="I255" s="214"/>
      <c r="J255" s="214"/>
      <c r="K255" s="214"/>
      <c r="L255" s="214"/>
      <c r="M255" s="214"/>
      <c r="N255" s="53"/>
    </row>
    <row r="256" spans="1:31" s="42" customFormat="1" ht="16.5" customHeight="1" x14ac:dyDescent="0.25">
      <c r="A256" s="1410" t="s">
        <v>25</v>
      </c>
      <c r="B256" s="1410"/>
      <c r="C256" s="1410"/>
      <c r="D256" s="214"/>
      <c r="E256" s="214"/>
      <c r="F256" s="214"/>
      <c r="G256" s="214"/>
      <c r="H256" s="214"/>
      <c r="I256" s="214"/>
      <c r="J256" s="214"/>
      <c r="K256" s="214"/>
      <c r="L256" s="214"/>
      <c r="M256" s="214"/>
      <c r="N256" s="53"/>
    </row>
    <row r="257" spans="1:14" s="42" customFormat="1" ht="16.5" customHeight="1" x14ac:dyDescent="0.25">
      <c r="A257" s="214"/>
      <c r="B257" s="214"/>
      <c r="C257" s="214"/>
      <c r="D257" s="214"/>
      <c r="E257" s="214"/>
      <c r="F257" s="214"/>
      <c r="G257" s="214"/>
      <c r="H257" s="214"/>
      <c r="I257" s="214"/>
      <c r="J257" s="214"/>
      <c r="K257" s="214"/>
      <c r="L257" s="214"/>
      <c r="M257" s="214"/>
      <c r="N257" s="53"/>
    </row>
    <row r="258" spans="1:14" s="42" customFormat="1" ht="18" customHeight="1" x14ac:dyDescent="0.25">
      <c r="A258" s="214"/>
      <c r="B258" s="192" t="s">
        <v>56</v>
      </c>
      <c r="C258" s="1190" t="str">
        <f>IF($D$11="Performance Path",IF(D248="",0,IF(D248&gt;=0.2,2,IF(D248&gt;=0.1,1,0))),"/")</f>
        <v>/</v>
      </c>
      <c r="D258" s="214"/>
      <c r="E258" s="214"/>
      <c r="F258" s="214"/>
      <c r="G258" s="214"/>
      <c r="H258" s="214"/>
      <c r="I258" s="214"/>
      <c r="J258" s="214"/>
      <c r="K258" s="214"/>
      <c r="L258" s="214"/>
      <c r="M258" s="214"/>
      <c r="N258" s="53"/>
    </row>
    <row r="259" spans="1:14" s="42" customFormat="1" ht="18" customHeight="1" x14ac:dyDescent="0.25">
      <c r="A259" s="214"/>
      <c r="B259" s="192" t="s">
        <v>521</v>
      </c>
      <c r="C259" s="1190" t="str">
        <f>IF($D$11="Performance Path",IF(AND(G253="Submitted",G254="Submitted",C258&gt;0),"Yes","No"),"/")</f>
        <v>/</v>
      </c>
      <c r="D259" s="214"/>
      <c r="E259" s="214"/>
      <c r="F259" s="214"/>
      <c r="G259" s="214"/>
      <c r="H259" s="214"/>
      <c r="I259" s="214"/>
      <c r="J259" s="214"/>
      <c r="K259" s="214"/>
      <c r="L259" s="214"/>
      <c r="M259" s="214"/>
      <c r="N259" s="53"/>
    </row>
    <row r="260" spans="1:14" s="42" customFormat="1" ht="19.5" customHeight="1" x14ac:dyDescent="0.25">
      <c r="A260" s="214"/>
      <c r="B260" s="214"/>
      <c r="C260" s="214"/>
      <c r="D260" s="214"/>
      <c r="E260" s="214"/>
      <c r="F260" s="214"/>
      <c r="G260" s="214"/>
      <c r="H260" s="214"/>
      <c r="I260" s="214"/>
      <c r="J260" s="214"/>
      <c r="K260" s="214"/>
      <c r="L260" s="214"/>
      <c r="M260" s="214"/>
      <c r="N260" s="53"/>
    </row>
    <row r="261" spans="1:14" s="42" customFormat="1" ht="18" customHeight="1" x14ac:dyDescent="0.25">
      <c r="A261" s="1410" t="s">
        <v>962</v>
      </c>
      <c r="B261" s="1410"/>
      <c r="C261" s="1410"/>
      <c r="D261" s="1410"/>
      <c r="E261" s="1410"/>
      <c r="F261" s="1410"/>
      <c r="G261" s="1410"/>
      <c r="H261" s="1410"/>
      <c r="I261" s="1410"/>
      <c r="J261" s="1410"/>
      <c r="K261" s="1410"/>
      <c r="L261" s="1410"/>
      <c r="M261" s="1410"/>
      <c r="N261" s="53"/>
    </row>
    <row r="262" spans="1:14" s="42" customFormat="1" ht="16.5" customHeight="1" x14ac:dyDescent="0.25">
      <c r="A262" s="214"/>
      <c r="B262" s="214"/>
      <c r="C262" s="214"/>
      <c r="D262" s="214"/>
      <c r="E262" s="214"/>
      <c r="F262" s="214"/>
      <c r="G262" s="214"/>
      <c r="H262" s="214"/>
      <c r="I262" s="214"/>
      <c r="J262" s="214"/>
      <c r="K262" s="214"/>
      <c r="L262" s="214"/>
      <c r="M262" s="214"/>
      <c r="N262" s="53"/>
    </row>
    <row r="263" spans="1:14" s="42" customFormat="1" ht="16.5" customHeight="1" x14ac:dyDescent="0.25">
      <c r="A263" s="1410" t="s">
        <v>265</v>
      </c>
      <c r="B263" s="1410"/>
      <c r="C263" s="1410"/>
      <c r="D263" s="214"/>
      <c r="E263" s="214"/>
      <c r="F263" s="214"/>
      <c r="G263" s="214"/>
      <c r="H263" s="214"/>
      <c r="I263" s="214"/>
      <c r="J263" s="214"/>
      <c r="K263" s="214"/>
      <c r="L263" s="214"/>
      <c r="M263" s="214"/>
      <c r="N263" s="53"/>
    </row>
    <row r="264" spans="1:14" s="42" customFormat="1" ht="16.5" customHeight="1" x14ac:dyDescent="0.25">
      <c r="A264" s="214"/>
      <c r="B264" s="214"/>
      <c r="C264" s="214"/>
      <c r="D264" s="214"/>
      <c r="E264" s="214"/>
      <c r="F264" s="214"/>
      <c r="G264" s="214"/>
      <c r="H264" s="214"/>
      <c r="I264" s="214"/>
      <c r="J264" s="214"/>
      <c r="K264" s="214"/>
      <c r="L264" s="214"/>
      <c r="M264" s="214"/>
      <c r="N264" s="53"/>
    </row>
    <row r="265" spans="1:14" s="42" customFormat="1" ht="16.5" customHeight="1" x14ac:dyDescent="0.25">
      <c r="A265" s="428"/>
      <c r="B265" s="818" t="s">
        <v>1520</v>
      </c>
      <c r="C265" s="808"/>
      <c r="D265" s="808"/>
      <c r="E265" s="808"/>
      <c r="F265" s="808"/>
      <c r="G265" s="809"/>
      <c r="H265" s="428"/>
      <c r="I265" s="428"/>
      <c r="J265" s="428"/>
      <c r="K265" s="428"/>
      <c r="L265" s="428"/>
      <c r="M265" s="428"/>
      <c r="N265" s="53"/>
    </row>
    <row r="266" spans="1:14" s="42" customFormat="1" ht="16.5" customHeight="1" x14ac:dyDescent="0.25">
      <c r="A266" s="428"/>
      <c r="B266" s="816" t="s">
        <v>1519</v>
      </c>
      <c r="C266" s="810"/>
      <c r="D266" s="810"/>
      <c r="E266" s="810"/>
      <c r="F266" s="810"/>
      <c r="G266" s="811"/>
      <c r="H266" s="428"/>
      <c r="I266" s="428"/>
      <c r="J266" s="428"/>
      <c r="K266" s="428"/>
      <c r="L266" s="428"/>
      <c r="M266" s="428"/>
      <c r="N266" s="53"/>
    </row>
    <row r="267" spans="1:14" s="42" customFormat="1" ht="16.5" customHeight="1" x14ac:dyDescent="0.25">
      <c r="A267" s="428"/>
      <c r="B267" s="817" t="s">
        <v>1521</v>
      </c>
      <c r="C267" s="810"/>
      <c r="D267" s="810"/>
      <c r="E267" s="810"/>
      <c r="F267" s="810"/>
      <c r="G267" s="811"/>
      <c r="H267" s="428"/>
      <c r="I267" s="428"/>
      <c r="J267" s="428"/>
      <c r="K267" s="428"/>
      <c r="L267" s="428"/>
      <c r="M267" s="428"/>
      <c r="N267" s="53"/>
    </row>
    <row r="268" spans="1:14" s="42" customFormat="1" ht="16.5" customHeight="1" x14ac:dyDescent="0.25">
      <c r="A268" s="428"/>
      <c r="B268" s="817" t="s">
        <v>1522</v>
      </c>
      <c r="C268" s="810"/>
      <c r="D268" s="810"/>
      <c r="E268" s="810"/>
      <c r="F268" s="810"/>
      <c r="G268" s="811"/>
      <c r="H268" s="428"/>
      <c r="I268" s="428"/>
      <c r="J268" s="428"/>
      <c r="K268" s="428"/>
      <c r="L268" s="428"/>
      <c r="M268" s="428"/>
      <c r="N268" s="53"/>
    </row>
    <row r="269" spans="1:14" s="42" customFormat="1" ht="16.5" customHeight="1" x14ac:dyDescent="0.25">
      <c r="A269" s="428"/>
      <c r="B269" s="817" t="s">
        <v>1523</v>
      </c>
      <c r="C269" s="810"/>
      <c r="D269" s="810"/>
      <c r="E269" s="810"/>
      <c r="F269" s="810"/>
      <c r="G269" s="811"/>
      <c r="H269" s="428"/>
      <c r="I269" s="428"/>
      <c r="J269" s="428"/>
      <c r="K269" s="428"/>
      <c r="L269" s="428"/>
      <c r="M269" s="428"/>
      <c r="N269" s="53"/>
    </row>
    <row r="270" spans="1:14" s="42" customFormat="1" ht="16.5" customHeight="1" x14ac:dyDescent="0.25">
      <c r="A270" s="428"/>
      <c r="B270" s="815" t="s">
        <v>1524</v>
      </c>
      <c r="C270" s="810"/>
      <c r="D270" s="810"/>
      <c r="E270" s="810"/>
      <c r="F270" s="810"/>
      <c r="G270" s="811"/>
      <c r="H270" s="428"/>
      <c r="I270" s="428"/>
      <c r="J270" s="428"/>
      <c r="K270" s="428"/>
      <c r="L270" s="428"/>
      <c r="M270" s="428"/>
      <c r="N270" s="53"/>
    </row>
    <row r="271" spans="1:14" s="42" customFormat="1" ht="16.5" customHeight="1" x14ac:dyDescent="0.25">
      <c r="A271" s="428"/>
      <c r="B271" s="816" t="s">
        <v>1528</v>
      </c>
      <c r="C271" s="810"/>
      <c r="D271" s="810"/>
      <c r="E271" s="810"/>
      <c r="F271" s="810"/>
      <c r="G271" s="811"/>
      <c r="H271" s="428"/>
      <c r="I271" s="428"/>
      <c r="J271" s="428"/>
      <c r="K271" s="428"/>
      <c r="L271" s="428"/>
      <c r="M271" s="428"/>
      <c r="N271" s="53"/>
    </row>
    <row r="272" spans="1:14" s="42" customFormat="1" ht="16.5" customHeight="1" x14ac:dyDescent="0.25">
      <c r="A272" s="428"/>
      <c r="B272" s="819" t="s">
        <v>1525</v>
      </c>
      <c r="C272" s="810"/>
      <c r="D272" s="810"/>
      <c r="E272" s="810"/>
      <c r="F272" s="810"/>
      <c r="G272" s="811"/>
      <c r="H272" s="428"/>
      <c r="I272" s="428"/>
      <c r="J272" s="428"/>
      <c r="K272" s="428"/>
      <c r="L272" s="428"/>
      <c r="M272" s="428"/>
      <c r="N272" s="53"/>
    </row>
    <row r="273" spans="1:15" s="42" customFormat="1" ht="16.5" customHeight="1" x14ac:dyDescent="0.25">
      <c r="A273" s="428"/>
      <c r="B273" s="819" t="s">
        <v>1526</v>
      </c>
      <c r="C273" s="810"/>
      <c r="D273" s="810"/>
      <c r="E273" s="810"/>
      <c r="F273" s="810"/>
      <c r="G273" s="811"/>
      <c r="H273" s="428"/>
      <c r="I273" s="428"/>
      <c r="J273" s="428"/>
      <c r="K273" s="428"/>
      <c r="L273" s="428"/>
      <c r="M273" s="428"/>
      <c r="N273" s="53"/>
    </row>
    <row r="274" spans="1:15" s="42" customFormat="1" ht="16.5" customHeight="1" x14ac:dyDescent="0.25">
      <c r="A274" s="428"/>
      <c r="B274" s="820" t="s">
        <v>1527</v>
      </c>
      <c r="C274" s="812"/>
      <c r="D274" s="812"/>
      <c r="E274" s="812"/>
      <c r="F274" s="812"/>
      <c r="G274" s="813"/>
      <c r="H274" s="428"/>
      <c r="I274" s="428"/>
      <c r="J274" s="428"/>
      <c r="K274" s="428"/>
      <c r="L274" s="428"/>
      <c r="M274" s="428"/>
      <c r="N274" s="53"/>
    </row>
    <row r="275" spans="1:15" s="42" customFormat="1" ht="16.5" customHeight="1" x14ac:dyDescent="0.25">
      <c r="A275" s="428"/>
      <c r="B275" s="428"/>
      <c r="C275" s="428"/>
      <c r="D275" s="428"/>
      <c r="E275" s="428"/>
      <c r="F275" s="428"/>
      <c r="G275" s="428"/>
      <c r="H275" s="428"/>
      <c r="I275" s="428"/>
      <c r="J275" s="428"/>
      <c r="K275" s="428"/>
      <c r="L275" s="428"/>
      <c r="M275" s="428"/>
      <c r="N275" s="53"/>
    </row>
    <row r="276" spans="1:15" s="42" customFormat="1" ht="16.5" customHeight="1" x14ac:dyDescent="0.25">
      <c r="A276" s="428"/>
      <c r="B276" s="924" t="s">
        <v>1529</v>
      </c>
      <c r="C276" s="428"/>
      <c r="D276" s="428"/>
      <c r="E276" s="428"/>
      <c r="F276" s="428"/>
      <c r="G276" s="428"/>
      <c r="H276" s="428"/>
      <c r="I276" s="428"/>
      <c r="J276" s="428"/>
      <c r="K276" s="428"/>
      <c r="L276" s="428"/>
      <c r="M276" s="428"/>
      <c r="N276" s="53"/>
    </row>
    <row r="277" spans="1:15" s="42" customFormat="1" ht="16.5" customHeight="1" x14ac:dyDescent="0.25">
      <c r="A277" s="428"/>
      <c r="B277" s="428"/>
      <c r="C277" s="428"/>
      <c r="D277" s="428"/>
      <c r="E277" s="428"/>
      <c r="F277" s="428"/>
      <c r="G277" s="428"/>
      <c r="H277" s="428"/>
      <c r="I277" s="428"/>
      <c r="J277" s="428"/>
      <c r="K277" s="428"/>
      <c r="L277" s="428"/>
      <c r="M277" s="428"/>
      <c r="N277" s="53"/>
    </row>
    <row r="278" spans="1:15" s="42" customFormat="1" ht="16.5" customHeight="1" x14ac:dyDescent="0.25">
      <c r="A278" s="428"/>
      <c r="B278" s="923" t="s">
        <v>1530</v>
      </c>
      <c r="C278" s="428"/>
      <c r="D278" s="428"/>
      <c r="E278" s="428"/>
      <c r="F278" s="428"/>
      <c r="G278" s="428"/>
      <c r="H278" s="428"/>
      <c r="I278" s="428"/>
      <c r="J278" s="428"/>
      <c r="K278" s="428"/>
      <c r="L278" s="428"/>
      <c r="M278" s="428"/>
      <c r="N278" s="53"/>
    </row>
    <row r="279" spans="1:15" s="42" customFormat="1" ht="12.75" customHeight="1" x14ac:dyDescent="0.25">
      <c r="A279" s="214"/>
      <c r="B279" s="214"/>
      <c r="C279" s="214"/>
      <c r="D279" s="214"/>
      <c r="E279" s="214"/>
      <c r="F279" s="214"/>
      <c r="G279" s="214"/>
      <c r="H279" s="214"/>
      <c r="I279" s="214"/>
      <c r="J279" s="214"/>
      <c r="K279" s="214"/>
      <c r="L279" s="214"/>
      <c r="M279" s="214"/>
      <c r="N279" s="53"/>
    </row>
    <row r="280" spans="1:15" s="42" customFormat="1" ht="16.5" customHeight="1" x14ac:dyDescent="0.25">
      <c r="A280" s="214"/>
      <c r="B280" s="427" t="s">
        <v>958</v>
      </c>
      <c r="C280" s="428"/>
      <c r="D280" s="428"/>
      <c r="E280" s="214"/>
      <c r="F280" s="214"/>
      <c r="G280" s="427" t="s">
        <v>959</v>
      </c>
      <c r="H280" s="428"/>
      <c r="I280" s="428"/>
      <c r="J280" s="428"/>
      <c r="K280" s="428"/>
      <c r="L280" s="214"/>
      <c r="M280" s="214"/>
      <c r="N280" s="53"/>
    </row>
    <row r="281" spans="1:15" s="42" customFormat="1" ht="17.25" customHeight="1" x14ac:dyDescent="0.25">
      <c r="A281" s="214"/>
      <c r="B281" s="998" t="s">
        <v>1940</v>
      </c>
      <c r="C281" s="406" t="s">
        <v>43</v>
      </c>
      <c r="D281" s="406" t="s">
        <v>1942</v>
      </c>
      <c r="E281" s="407" t="s">
        <v>46</v>
      </c>
      <c r="F281" s="214"/>
      <c r="G281" s="998" t="s">
        <v>1941</v>
      </c>
      <c r="H281" s="999" t="s">
        <v>43</v>
      </c>
      <c r="I281" s="1440" t="s">
        <v>1942</v>
      </c>
      <c r="J281" s="1440"/>
      <c r="K281" s="1440" t="s">
        <v>46</v>
      </c>
      <c r="L281" s="1469"/>
      <c r="M281" s="214"/>
      <c r="N281" s="53"/>
    </row>
    <row r="282" spans="1:15" s="42" customFormat="1" ht="16.5" customHeight="1" x14ac:dyDescent="0.25">
      <c r="A282" s="214"/>
      <c r="B282" s="1001"/>
      <c r="C282" s="566"/>
      <c r="D282" s="1001" t="s">
        <v>129</v>
      </c>
      <c r="E282" s="402">
        <f>IF(AND(D282&lt;&gt;"No",D282&lt;&gt;"Select"),C282,0)</f>
        <v>0</v>
      </c>
      <c r="F282" s="214"/>
      <c r="G282" s="1001"/>
      <c r="H282" s="1000"/>
      <c r="I282" s="1470" t="s">
        <v>129</v>
      </c>
      <c r="J282" s="1470"/>
      <c r="K282" s="1473">
        <f>IF(AND(I282&lt;&gt;"No",I282&lt;&gt;"Select"),H282,0)</f>
        <v>0</v>
      </c>
      <c r="L282" s="1473"/>
      <c r="M282" s="214"/>
      <c r="N282" s="53"/>
      <c r="O282" s="42" t="str">
        <f>IF(D282="solar reflectivity &gt; 0.7","Yes",IF(I282="solar reflectivity &gt; 0.4","Yes","No"))</f>
        <v>No</v>
      </c>
    </row>
    <row r="283" spans="1:15" s="42" customFormat="1" ht="16.5" customHeight="1" x14ac:dyDescent="0.25">
      <c r="A283" s="214"/>
      <c r="B283" s="1001"/>
      <c r="C283" s="565"/>
      <c r="D283" s="1001" t="s">
        <v>129</v>
      </c>
      <c r="E283" s="294">
        <f>IF(AND(D283&lt;&gt;"No",D283&lt;&gt;"Select"),C283,0)</f>
        <v>0</v>
      </c>
      <c r="F283" s="214"/>
      <c r="G283" s="1001"/>
      <c r="H283" s="1000"/>
      <c r="I283" s="1470" t="s">
        <v>129</v>
      </c>
      <c r="J283" s="1470"/>
      <c r="K283" s="1473">
        <f>IF(AND(I283&lt;&gt;"No",I283&lt;&gt;"Select"),H283,0)</f>
        <v>0</v>
      </c>
      <c r="L283" s="1473"/>
      <c r="M283" s="214"/>
      <c r="N283" s="53"/>
      <c r="O283" s="42" t="str">
        <f>IF(D283="solar reflectivity &gt; 0.7","Yes",IF(I283="solar reflectivity &gt; 0.4","Yes","No"))</f>
        <v>No</v>
      </c>
    </row>
    <row r="284" spans="1:15" s="42" customFormat="1" ht="16.5" customHeight="1" x14ac:dyDescent="0.25">
      <c r="A284" s="214"/>
      <c r="B284" s="1001"/>
      <c r="C284" s="565"/>
      <c r="D284" s="1001" t="s">
        <v>129</v>
      </c>
      <c r="E284" s="294">
        <f>IF(AND(D284&lt;&gt;"No",D284&lt;&gt;"Select"),C284,0)</f>
        <v>0</v>
      </c>
      <c r="F284" s="214"/>
      <c r="G284" s="1001"/>
      <c r="H284" s="1000"/>
      <c r="I284" s="1470" t="s">
        <v>129</v>
      </c>
      <c r="J284" s="1470"/>
      <c r="K284" s="1473">
        <f>IF(AND(I284&lt;&gt;"No",I284&lt;&gt;"Select"),H284,0)</f>
        <v>0</v>
      </c>
      <c r="L284" s="1473"/>
      <c r="M284" s="214"/>
      <c r="N284" s="53"/>
      <c r="O284" s="42" t="str">
        <f>IF(D284="solar reflectivity &gt; 0.7","Yes",IF(I284="solar reflectivity &gt; 0.4","Yes","No"))</f>
        <v>No</v>
      </c>
    </row>
    <row r="285" spans="1:15" s="42" customFormat="1" ht="16.5" customHeight="1" x14ac:dyDescent="0.25">
      <c r="A285" s="214"/>
      <c r="B285" s="1001"/>
      <c r="C285" s="565"/>
      <c r="D285" s="1001" t="s">
        <v>129</v>
      </c>
      <c r="E285" s="294">
        <f>IF(AND(D285&lt;&gt;"No",D285&lt;&gt;"Select"),C285,0)</f>
        <v>0</v>
      </c>
      <c r="F285" s="214"/>
      <c r="G285" s="1001"/>
      <c r="H285" s="1000"/>
      <c r="I285" s="1470" t="s">
        <v>129</v>
      </c>
      <c r="J285" s="1470"/>
      <c r="K285" s="1473">
        <f>IF(AND(I285&lt;&gt;"No",I285&lt;&gt;"Select"),H285,0)</f>
        <v>0</v>
      </c>
      <c r="L285" s="1473"/>
      <c r="M285" s="214"/>
      <c r="N285" s="53"/>
      <c r="O285" s="42" t="str">
        <f>IF(D285="solar reflectivity &gt; 0.7","Yes",IF(I285="solar reflectivity &gt; 0.4","Yes","No"))</f>
        <v>No</v>
      </c>
    </row>
    <row r="286" spans="1:15" s="42" customFormat="1" ht="16.5" customHeight="1" x14ac:dyDescent="0.25">
      <c r="A286" s="214"/>
      <c r="B286" s="1001"/>
      <c r="C286" s="565"/>
      <c r="D286" s="1001" t="s">
        <v>129</v>
      </c>
      <c r="E286" s="294">
        <f>IF(AND(D286&lt;&gt;"No",D286&lt;&gt;"Select"),C286,0)</f>
        <v>0</v>
      </c>
      <c r="F286" s="214"/>
      <c r="G286" s="1001"/>
      <c r="H286" s="1000"/>
      <c r="I286" s="1470" t="s">
        <v>129</v>
      </c>
      <c r="J286" s="1470"/>
      <c r="K286" s="1473">
        <f>IF(AND(I286&lt;&gt;"No",I286&lt;&gt;"Select"),H286,0)</f>
        <v>0</v>
      </c>
      <c r="L286" s="1473"/>
      <c r="M286" s="214"/>
      <c r="N286" s="53"/>
      <c r="O286" s="42" t="str">
        <f>IF(D286="solar reflectivity &gt; 0.7","Yes",IF(I286="solar reflectivity &gt; 0.4","Yes","No"))</f>
        <v>No</v>
      </c>
    </row>
    <row r="287" spans="1:15" s="42" customFormat="1" ht="16.5" customHeight="1" x14ac:dyDescent="0.25">
      <c r="A287" s="214"/>
      <c r="B287" s="214"/>
      <c r="C287" s="412">
        <f>SUM(C282:C286)</f>
        <v>0</v>
      </c>
      <c r="D287" s="214"/>
      <c r="E287" s="412">
        <f>SUM(E282:E286)</f>
        <v>0</v>
      </c>
      <c r="F287" s="214"/>
      <c r="G287" s="214"/>
      <c r="H287" s="412">
        <f>SUM(H282:H286)</f>
        <v>0</v>
      </c>
      <c r="I287" s="214"/>
      <c r="J287" s="214"/>
      <c r="K287" s="1471">
        <f>SUM(K282:L286)</f>
        <v>0</v>
      </c>
      <c r="L287" s="1472"/>
      <c r="M287" s="214"/>
      <c r="N287" s="53"/>
    </row>
    <row r="288" spans="1:15" s="42" customFormat="1" ht="16.5" customHeight="1" x14ac:dyDescent="0.25">
      <c r="A288" s="214"/>
      <c r="B288" s="214"/>
      <c r="C288" s="214"/>
      <c r="D288" s="214"/>
      <c r="E288" s="214"/>
      <c r="F288" s="214"/>
      <c r="G288" s="214"/>
      <c r="H288" s="214"/>
      <c r="I288" s="214"/>
      <c r="J288" s="214"/>
      <c r="K288" s="214"/>
      <c r="L288" s="214"/>
      <c r="M288" s="214"/>
      <c r="N288" s="53"/>
    </row>
    <row r="289" spans="1:31" s="42" customFormat="1" ht="18" customHeight="1" x14ac:dyDescent="0.25">
      <c r="A289" s="214"/>
      <c r="B289" s="1494" t="s">
        <v>960</v>
      </c>
      <c r="C289" s="1494"/>
      <c r="D289" s="413">
        <f>IFERROR(E287/C287,0)</f>
        <v>0</v>
      </c>
      <c r="E289" s="214"/>
      <c r="F289" s="214"/>
      <c r="G289" s="1494" t="s">
        <v>961</v>
      </c>
      <c r="H289" s="1494"/>
      <c r="I289" s="1501">
        <f>IFERROR(K287/H287,0)</f>
        <v>0</v>
      </c>
      <c r="J289" s="1501"/>
      <c r="K289" s="214"/>
      <c r="L289" s="214"/>
      <c r="M289" s="214"/>
      <c r="N289" s="53"/>
    </row>
    <row r="290" spans="1:31" s="42" customFormat="1" ht="18.75" customHeight="1" x14ac:dyDescent="0.25">
      <c r="A290" s="214"/>
      <c r="B290" s="214"/>
      <c r="C290" s="214"/>
      <c r="D290" s="214"/>
      <c r="E290" s="214"/>
      <c r="F290" s="214"/>
      <c r="G290" s="214"/>
      <c r="H290" s="214"/>
      <c r="I290" s="214"/>
      <c r="J290" s="214"/>
      <c r="K290" s="214"/>
      <c r="L290" s="214"/>
      <c r="M290" s="214"/>
      <c r="N290" s="53"/>
    </row>
    <row r="291" spans="1:31" s="42" customFormat="1" ht="16.5" customHeight="1" x14ac:dyDescent="0.25">
      <c r="A291" s="1410" t="s">
        <v>200</v>
      </c>
      <c r="B291" s="1410"/>
      <c r="C291" s="1410"/>
      <c r="D291" s="214"/>
      <c r="E291" s="214"/>
      <c r="F291" s="214"/>
      <c r="G291" s="214"/>
      <c r="H291" s="214"/>
      <c r="I291" s="214"/>
      <c r="J291" s="214"/>
      <c r="K291" s="214"/>
      <c r="L291" s="214"/>
      <c r="M291" s="214"/>
      <c r="N291" s="53"/>
    </row>
    <row r="292" spans="1:31" s="42" customFormat="1" x14ac:dyDescent="0.25">
      <c r="A292" s="214"/>
      <c r="B292" s="214"/>
      <c r="C292" s="214"/>
      <c r="D292" s="214"/>
      <c r="E292" s="214"/>
      <c r="F292" s="214"/>
      <c r="G292" s="214"/>
      <c r="H292" s="214"/>
      <c r="I292" s="214"/>
      <c r="J292" s="214"/>
      <c r="K292" s="214"/>
      <c r="L292" s="214"/>
      <c r="M292" s="214"/>
      <c r="N292" s="53"/>
    </row>
    <row r="293" spans="1:31" s="42" customFormat="1" ht="18" customHeight="1" x14ac:dyDescent="0.25">
      <c r="A293" s="214"/>
      <c r="B293" s="1446" t="s">
        <v>2103</v>
      </c>
      <c r="C293" s="1447"/>
      <c r="D293" s="1447"/>
      <c r="E293" s="1447"/>
      <c r="F293" s="1447"/>
      <c r="G293" s="1045" t="s">
        <v>2101</v>
      </c>
      <c r="H293" s="1443" t="s">
        <v>2102</v>
      </c>
      <c r="I293" s="1444"/>
      <c r="J293" s="214"/>
      <c r="K293" s="214"/>
      <c r="L293" s="214"/>
      <c r="M293" s="214"/>
      <c r="N293" s="53"/>
    </row>
    <row r="294" spans="1:31" s="42" customFormat="1" ht="21" customHeight="1" x14ac:dyDescent="0.25">
      <c r="A294" s="214"/>
      <c r="B294" s="1436" t="s">
        <v>1308</v>
      </c>
      <c r="C294" s="1437"/>
      <c r="D294" s="1437"/>
      <c r="E294" s="1437"/>
      <c r="F294" s="1438"/>
      <c r="G294" s="518" t="s">
        <v>129</v>
      </c>
      <c r="H294" s="1441"/>
      <c r="I294" s="1442"/>
      <c r="J294" s="214"/>
      <c r="K294" s="214"/>
      <c r="L294" s="214"/>
      <c r="M294" s="214"/>
      <c r="N294" s="53"/>
    </row>
    <row r="295" spans="1:31" s="42" customFormat="1" ht="21" customHeight="1" x14ac:dyDescent="0.25">
      <c r="A295" s="214"/>
      <c r="B295" s="1436" t="s">
        <v>1309</v>
      </c>
      <c r="C295" s="1437"/>
      <c r="D295" s="1437"/>
      <c r="E295" s="1437"/>
      <c r="F295" s="1438"/>
      <c r="G295" s="518" t="s">
        <v>129</v>
      </c>
      <c r="H295" s="1441"/>
      <c r="I295" s="1442"/>
      <c r="J295" s="214"/>
      <c r="K295" s="214"/>
      <c r="L295" s="214"/>
      <c r="M295" s="214"/>
      <c r="N295" s="53"/>
    </row>
    <row r="296" spans="1:31" s="42" customFormat="1" ht="18" customHeight="1" x14ac:dyDescent="0.25">
      <c r="A296" s="214"/>
      <c r="B296" s="214"/>
      <c r="C296" s="214"/>
      <c r="D296" s="214"/>
      <c r="E296" s="214"/>
      <c r="F296" s="214"/>
      <c r="G296" s="214"/>
      <c r="H296" s="214"/>
      <c r="I296" s="214"/>
      <c r="J296" s="214"/>
      <c r="K296" s="214"/>
      <c r="L296" s="214"/>
      <c r="M296" s="214"/>
      <c r="N296" s="53"/>
    </row>
    <row r="297" spans="1:31" s="42" customFormat="1" ht="16.5" customHeight="1" x14ac:dyDescent="0.25">
      <c r="A297" s="1410" t="s">
        <v>25</v>
      </c>
      <c r="B297" s="1410"/>
      <c r="C297" s="1410"/>
      <c r="D297" s="214"/>
      <c r="E297" s="214"/>
      <c r="F297" s="214"/>
      <c r="G297" s="214"/>
      <c r="H297" s="214"/>
      <c r="I297" s="214"/>
      <c r="J297" s="214"/>
      <c r="K297" s="214"/>
      <c r="L297" s="214"/>
      <c r="M297" s="214"/>
      <c r="N297" s="53"/>
    </row>
    <row r="298" spans="1:31" s="42" customFormat="1" ht="16.5" customHeight="1" x14ac:dyDescent="0.25">
      <c r="A298" s="214"/>
      <c r="B298" s="214"/>
      <c r="C298" s="214"/>
      <c r="D298" s="214"/>
      <c r="E298" s="214"/>
      <c r="F298" s="214"/>
      <c r="G298" s="214"/>
      <c r="H298" s="214"/>
      <c r="I298" s="214"/>
      <c r="J298" s="214"/>
      <c r="K298" s="214"/>
      <c r="L298" s="214"/>
      <c r="M298" s="214"/>
      <c r="N298" s="53"/>
      <c r="V298"/>
      <c r="W298"/>
      <c r="X298"/>
      <c r="Y298"/>
      <c r="Z298"/>
      <c r="AA298"/>
      <c r="AB298"/>
      <c r="AC298"/>
      <c r="AD298"/>
      <c r="AE298"/>
    </row>
    <row r="299" spans="1:31" s="42" customFormat="1" ht="18" customHeight="1" x14ac:dyDescent="0.25">
      <c r="A299" s="214"/>
      <c r="B299" s="192" t="s">
        <v>56</v>
      </c>
      <c r="C299" s="1190" t="str">
        <f>IF($D$11="Performance Path",IF(AND(D289&gt;=0.95,I289&gt;=0.95),1,0),"/")</f>
        <v>/</v>
      </c>
      <c r="D299" s="214"/>
      <c r="E299" s="214"/>
      <c r="F299" s="214"/>
      <c r="G299" s="214"/>
      <c r="H299" s="214"/>
      <c r="I299" s="214"/>
      <c r="J299" s="214"/>
      <c r="K299" s="214"/>
      <c r="L299" s="214"/>
      <c r="M299" s="214"/>
      <c r="N299" s="53"/>
      <c r="V299"/>
      <c r="W299"/>
      <c r="X299"/>
      <c r="Y299"/>
      <c r="Z299"/>
      <c r="AA299"/>
      <c r="AB299"/>
      <c r="AC299"/>
      <c r="AD299"/>
      <c r="AE299"/>
    </row>
    <row r="300" spans="1:31" s="42" customFormat="1" ht="18" customHeight="1" x14ac:dyDescent="0.25">
      <c r="A300" s="214"/>
      <c r="B300" s="192" t="s">
        <v>521</v>
      </c>
      <c r="C300" s="1190" t="str">
        <f>IF($D$11="Performance Path",IF(COUNTIF(O282:O286,"Yes")&gt;0,IF(AND(G294="Submitted",G295="Submitted",C299&gt;0),"Yes","No"),IF(AND(G294="Submitted",C299&gt;0),"Yes","No")),"/")</f>
        <v>/</v>
      </c>
      <c r="D300" s="214"/>
      <c r="E300" s="214"/>
      <c r="F300" s="214"/>
      <c r="G300" s="214"/>
      <c r="H300" s="214"/>
      <c r="I300" s="214"/>
      <c r="J300" s="214"/>
      <c r="K300" s="214"/>
      <c r="L300" s="214"/>
      <c r="M300" s="214"/>
      <c r="N300" s="53"/>
      <c r="V300"/>
      <c r="W300"/>
      <c r="X300"/>
      <c r="Y300"/>
      <c r="Z300"/>
      <c r="AA300"/>
      <c r="AB300"/>
      <c r="AC300"/>
      <c r="AD300"/>
      <c r="AE300"/>
    </row>
    <row r="301" spans="1:31" s="42" customFormat="1" ht="16.5" customHeight="1" x14ac:dyDescent="0.25">
      <c r="A301" s="214"/>
      <c r="B301" s="214"/>
      <c r="C301" s="214"/>
      <c r="D301" s="214"/>
      <c r="E301" s="214"/>
      <c r="F301" s="214"/>
      <c r="G301" s="214"/>
      <c r="H301" s="214"/>
      <c r="I301" s="214"/>
      <c r="J301" s="214"/>
      <c r="K301" s="214"/>
      <c r="L301" s="214"/>
      <c r="M301" s="214"/>
      <c r="N301" s="53"/>
      <c r="V301"/>
      <c r="W301"/>
      <c r="X301"/>
      <c r="Y301"/>
      <c r="Z301"/>
      <c r="AA301"/>
      <c r="AB301"/>
      <c r="AC301"/>
      <c r="AD301"/>
      <c r="AE301"/>
    </row>
    <row r="302" spans="1:31" hidden="1" x14ac:dyDescent="0.25"/>
    <row r="303" spans="1:31" hidden="1" x14ac:dyDescent="0.25"/>
    <row r="304" spans="1:31"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sheetData>
  <sheetProtection algorithmName="SHA-512" hashValue="JVG1u/8hNYYLLljVPqTACbD1IkRmYjml71va1xGnLOWuFsn/a2inVxpp4ZdZl1fYTYe/ku+ywMkvPOgc7HsoVw==" saltValue="cAZ1jR8m58dFK2E+r0IuWg==" spinCount="100000" sheet="1" objects="1" scenarios="1"/>
  <mergeCells count="191">
    <mergeCell ref="H295:I295"/>
    <mergeCell ref="B293:F293"/>
    <mergeCell ref="H293:I293"/>
    <mergeCell ref="H202:I202"/>
    <mergeCell ref="H253:I253"/>
    <mergeCell ref="H254:I254"/>
    <mergeCell ref="I281:J281"/>
    <mergeCell ref="I282:J282"/>
    <mergeCell ref="B201:F201"/>
    <mergeCell ref="B202:F202"/>
    <mergeCell ref="A291:C291"/>
    <mergeCell ref="B289:C289"/>
    <mergeCell ref="G289:H289"/>
    <mergeCell ref="I289:J289"/>
    <mergeCell ref="A204:C204"/>
    <mergeCell ref="J222:K222"/>
    <mergeCell ref="J223:K223"/>
    <mergeCell ref="J224:K224"/>
    <mergeCell ref="J225:K225"/>
    <mergeCell ref="J226:K226"/>
    <mergeCell ref="J227:K227"/>
    <mergeCell ref="H54:I54"/>
    <mergeCell ref="H55:I55"/>
    <mergeCell ref="H88:I88"/>
    <mergeCell ref="H89:I89"/>
    <mergeCell ref="H121:I121"/>
    <mergeCell ref="H122:I122"/>
    <mergeCell ref="H162:I162"/>
    <mergeCell ref="H163:I163"/>
    <mergeCell ref="H201:I201"/>
    <mergeCell ref="H200:I200"/>
    <mergeCell ref="A297:C297"/>
    <mergeCell ref="A98:C98"/>
    <mergeCell ref="B100:F100"/>
    <mergeCell ref="B101:F101"/>
    <mergeCell ref="B102:F102"/>
    <mergeCell ref="A131:C131"/>
    <mergeCell ref="A176:C176"/>
    <mergeCell ref="A211:C211"/>
    <mergeCell ref="A263:C263"/>
    <mergeCell ref="B294:F294"/>
    <mergeCell ref="B295:F295"/>
    <mergeCell ref="C111:D111"/>
    <mergeCell ref="E111:F111"/>
    <mergeCell ref="C112:D112"/>
    <mergeCell ref="E112:F112"/>
    <mergeCell ref="A174:M174"/>
    <mergeCell ref="A209:M209"/>
    <mergeCell ref="A261:M261"/>
    <mergeCell ref="A170:M170"/>
    <mergeCell ref="B200:F200"/>
    <mergeCell ref="J228:K228"/>
    <mergeCell ref="J229:K229"/>
    <mergeCell ref="J230:K230"/>
    <mergeCell ref="H294:I294"/>
    <mergeCell ref="W233:Z233"/>
    <mergeCell ref="B247:C247"/>
    <mergeCell ref="B248:C248"/>
    <mergeCell ref="K286:L286"/>
    <mergeCell ref="K287:L287"/>
    <mergeCell ref="K283:L283"/>
    <mergeCell ref="K284:L284"/>
    <mergeCell ref="K285:L285"/>
    <mergeCell ref="K281:L281"/>
    <mergeCell ref="K282:L282"/>
    <mergeCell ref="B253:F253"/>
    <mergeCell ref="B254:F254"/>
    <mergeCell ref="A250:C250"/>
    <mergeCell ref="A256:C256"/>
    <mergeCell ref="I286:J286"/>
    <mergeCell ref="B252:F252"/>
    <mergeCell ref="H252:I252"/>
    <mergeCell ref="I283:J283"/>
    <mergeCell ref="I284:J284"/>
    <mergeCell ref="I285:J285"/>
    <mergeCell ref="B246:C246"/>
    <mergeCell ref="A165:C165"/>
    <mergeCell ref="A198:C198"/>
    <mergeCell ref="B195:D195"/>
    <mergeCell ref="B196:D196"/>
    <mergeCell ref="B183:H183"/>
    <mergeCell ref="C220:K220"/>
    <mergeCell ref="J221:K221"/>
    <mergeCell ref="B220:B221"/>
    <mergeCell ref="B219:J219"/>
    <mergeCell ref="B216:K217"/>
    <mergeCell ref="C76:D76"/>
    <mergeCell ref="B70:H70"/>
    <mergeCell ref="B116:C116"/>
    <mergeCell ref="G157:H157"/>
    <mergeCell ref="I157:J157"/>
    <mergeCell ref="I151:J151"/>
    <mergeCell ref="B162:F162"/>
    <mergeCell ref="B163:F163"/>
    <mergeCell ref="B121:F121"/>
    <mergeCell ref="B122:F122"/>
    <mergeCell ref="A118:C118"/>
    <mergeCell ref="A124:C124"/>
    <mergeCell ref="A159:C159"/>
    <mergeCell ref="H161:I161"/>
    <mergeCell ref="B157:C157"/>
    <mergeCell ref="B87:F87"/>
    <mergeCell ref="H87:I87"/>
    <mergeCell ref="B120:F120"/>
    <mergeCell ref="H120:I120"/>
    <mergeCell ref="B161:F161"/>
    <mergeCell ref="B53:F53"/>
    <mergeCell ref="H53:I53"/>
    <mergeCell ref="A85:C85"/>
    <mergeCell ref="A91:C91"/>
    <mergeCell ref="B24:E24"/>
    <mergeCell ref="A32:C32"/>
    <mergeCell ref="A51:C51"/>
    <mergeCell ref="A57:C57"/>
    <mergeCell ref="B34:F34"/>
    <mergeCell ref="B35:F35"/>
    <mergeCell ref="B36:F36"/>
    <mergeCell ref="B72:H72"/>
    <mergeCell ref="A63:M63"/>
    <mergeCell ref="B83:C83"/>
    <mergeCell ref="C45:D45"/>
    <mergeCell ref="E45:F45"/>
    <mergeCell ref="B55:F55"/>
    <mergeCell ref="C79:D79"/>
    <mergeCell ref="E79:F79"/>
    <mergeCell ref="E80:F80"/>
    <mergeCell ref="C81:D81"/>
    <mergeCell ref="E81:F81"/>
    <mergeCell ref="C47:D47"/>
    <mergeCell ref="E47:F47"/>
    <mergeCell ref="B49:C49"/>
    <mergeCell ref="B20:E20"/>
    <mergeCell ref="B21:E21"/>
    <mergeCell ref="B22:E22"/>
    <mergeCell ref="B23:E23"/>
    <mergeCell ref="C42:D42"/>
    <mergeCell ref="C43:D43"/>
    <mergeCell ref="E42:F42"/>
    <mergeCell ref="E43:F43"/>
    <mergeCell ref="E44:F44"/>
    <mergeCell ref="A30:M30"/>
    <mergeCell ref="A26:M26"/>
    <mergeCell ref="E46:F46"/>
    <mergeCell ref="K151:L151"/>
    <mergeCell ref="A129:M129"/>
    <mergeCell ref="B89:F89"/>
    <mergeCell ref="A5:M7"/>
    <mergeCell ref="H2:J4"/>
    <mergeCell ref="K149:L149"/>
    <mergeCell ref="B13:E13"/>
    <mergeCell ref="B14:E14"/>
    <mergeCell ref="B11:C11"/>
    <mergeCell ref="B15:E15"/>
    <mergeCell ref="B16:E16"/>
    <mergeCell ref="B17:E17"/>
    <mergeCell ref="B18:E18"/>
    <mergeCell ref="B37:F37"/>
    <mergeCell ref="B38:F38"/>
    <mergeCell ref="C44:D44"/>
    <mergeCell ref="C46:D46"/>
    <mergeCell ref="C78:D78"/>
    <mergeCell ref="E78:F78"/>
    <mergeCell ref="C80:D80"/>
    <mergeCell ref="B67:H67"/>
    <mergeCell ref="B68:H68"/>
    <mergeCell ref="B69:H69"/>
    <mergeCell ref="B71:H71"/>
    <mergeCell ref="A9:M9"/>
    <mergeCell ref="E76:F76"/>
    <mergeCell ref="C77:D77"/>
    <mergeCell ref="E77:F77"/>
    <mergeCell ref="B54:F54"/>
    <mergeCell ref="A65:C65"/>
    <mergeCell ref="K155:L155"/>
    <mergeCell ref="I152:J152"/>
    <mergeCell ref="I153:J153"/>
    <mergeCell ref="I154:J154"/>
    <mergeCell ref="K152:L152"/>
    <mergeCell ref="K153:L153"/>
    <mergeCell ref="K154:L154"/>
    <mergeCell ref="I149:J149"/>
    <mergeCell ref="I150:J150"/>
    <mergeCell ref="C110:D110"/>
    <mergeCell ref="C113:D113"/>
    <mergeCell ref="E113:F113"/>
    <mergeCell ref="C114:D114"/>
    <mergeCell ref="E114:F114"/>
    <mergeCell ref="E110:F110"/>
    <mergeCell ref="B88:F88"/>
    <mergeCell ref="A96:M96"/>
    <mergeCell ref="K150:L150"/>
  </mergeCells>
  <conditionalFormatting sqref="G18">
    <cfRule type="expression" dxfId="317" priority="22">
      <formula>OR(#REF!="No",#REF!="Không")</formula>
    </cfRule>
  </conditionalFormatting>
  <conditionalFormatting sqref="G18">
    <cfRule type="expression" dxfId="316" priority="23">
      <formula>OR($D18="No",$D18="Không")</formula>
    </cfRule>
    <cfRule type="expression" dxfId="315" priority="24">
      <formula>OR(#REF!="No",#REF!="Không")</formula>
    </cfRule>
  </conditionalFormatting>
  <conditionalFormatting sqref="G18">
    <cfRule type="expression" dxfId="314" priority="21">
      <formula>OR(#REF!="No",#REF!="Không")</formula>
    </cfRule>
  </conditionalFormatting>
  <conditionalFormatting sqref="G18">
    <cfRule type="expression" dxfId="313" priority="19">
      <formula>OR($D18="No",$D18="Không")</formula>
    </cfRule>
    <cfRule type="expression" dxfId="312" priority="20">
      <formula>OR(#REF!="No",#REF!="Không")</formula>
    </cfRule>
  </conditionalFormatting>
  <conditionalFormatting sqref="H18">
    <cfRule type="expression" dxfId="311" priority="16">
      <formula>OR(#REF!="No",#REF!="Không")</formula>
    </cfRule>
  </conditionalFormatting>
  <conditionalFormatting sqref="H18">
    <cfRule type="expression" dxfId="310" priority="17">
      <formula>OR($D18="No",$D18="Không")</formula>
    </cfRule>
    <cfRule type="expression" dxfId="309" priority="18">
      <formula>OR(#REF!="No",#REF!="Không")</formula>
    </cfRule>
  </conditionalFormatting>
  <conditionalFormatting sqref="H18">
    <cfRule type="expression" dxfId="308" priority="15">
      <formula>OR(#REF!="No",#REF!="Không")</formula>
    </cfRule>
  </conditionalFormatting>
  <conditionalFormatting sqref="H18">
    <cfRule type="expression" dxfId="307" priority="13">
      <formula>OR($D18="No",$D18="Không")</formula>
    </cfRule>
    <cfRule type="expression" dxfId="306" priority="14">
      <formula>OR(#REF!="No",#REF!="Không")</formula>
    </cfRule>
  </conditionalFormatting>
  <conditionalFormatting sqref="G24">
    <cfRule type="expression" dxfId="305" priority="10">
      <formula>OR(#REF!="No",#REF!="Không")</formula>
    </cfRule>
  </conditionalFormatting>
  <conditionalFormatting sqref="G24">
    <cfRule type="expression" dxfId="304" priority="11">
      <formula>OR($D24="No",$D24="Không")</formula>
    </cfRule>
    <cfRule type="expression" dxfId="303" priority="12">
      <formula>OR(#REF!="No",#REF!="Không")</formula>
    </cfRule>
  </conditionalFormatting>
  <conditionalFormatting sqref="G24">
    <cfRule type="expression" dxfId="302" priority="9">
      <formula>OR(#REF!="No",#REF!="Không")</formula>
    </cfRule>
  </conditionalFormatting>
  <conditionalFormatting sqref="G24">
    <cfRule type="expression" dxfId="301" priority="7">
      <formula>OR($D24="No",$D24="Không")</formula>
    </cfRule>
    <cfRule type="expression" dxfId="300" priority="8">
      <formula>OR(#REF!="No",#REF!="Không")</formula>
    </cfRule>
  </conditionalFormatting>
  <conditionalFormatting sqref="H24">
    <cfRule type="expression" dxfId="299" priority="4">
      <formula>OR(#REF!="No",#REF!="Không")</formula>
    </cfRule>
  </conditionalFormatting>
  <conditionalFormatting sqref="H24">
    <cfRule type="expression" dxfId="298" priority="5">
      <formula>OR($D24="No",$D24="Không")</formula>
    </cfRule>
    <cfRule type="expression" dxfId="297" priority="6">
      <formula>OR(#REF!="No",#REF!="Không")</formula>
    </cfRule>
  </conditionalFormatting>
  <conditionalFormatting sqref="H24">
    <cfRule type="expression" dxfId="296" priority="3">
      <formula>OR(#REF!="No",#REF!="Không")</formula>
    </cfRule>
  </conditionalFormatting>
  <conditionalFormatting sqref="H24">
    <cfRule type="expression" dxfId="295" priority="1">
      <formula>OR($D24="No",$D24="Không")</formula>
    </cfRule>
    <cfRule type="expression" dxfId="294" priority="2">
      <formula>OR(#REF!="No",#REF!="Không")</formula>
    </cfRule>
  </conditionalFormatting>
  <dataValidations count="20">
    <dataValidation type="list" allowBlank="1" showInputMessage="1" showErrorMessage="1" sqref="D11">
      <formula1>"Select,Prescriptive Path, Performance Path"</formula1>
    </dataValidation>
    <dataValidation allowBlank="1" showInputMessage="1" showErrorMessage="1" prompt="Maximum value as per QCVN 09:2013 " sqref="I234"/>
    <dataValidation allowBlank="1" showInputMessage="1" showErrorMessage="1" prompt="Use Tables 2.4 and 2.5 of QCVN 09:2013 (available in the sheet 'Resources') to determine A coefficient._x000a_If there is no shading (or if the project decides not to calculate the A coefficient), value should be set to 1." sqref="G234:G244"/>
    <dataValidation type="list" allowBlank="1" showInputMessage="1" showErrorMessage="1" sqref="C235:C244">
      <formula1>$V$234:$AD$234</formula1>
    </dataValidation>
    <dataValidation type="list" allowBlank="1" showInputMessage="1" showErrorMessage="1" sqref="G294:G295 G54:G55 G121:G122 G162:G163 G201:G202 G253:G254 G88:G89">
      <formula1>"Select,Submitted,Not submitted"</formula1>
    </dataValidation>
    <dataValidation allowBlank="1" showInputMessage="1" showErrorMessage="1" prompt="Describe the materials used in the external wall assembly" sqref="E43:E47"/>
    <dataValidation allowBlank="1" showInputMessage="1" showErrorMessage="1" prompt="Describe the materials used in the roof assembly" sqref="E77:F81"/>
    <dataValidation allowBlank="1" showInputMessage="1" showErrorMessage="1" prompt="Describe the type of glazing used" sqref="E111:F114"/>
    <dataValidation type="list" allowBlank="1" showInputMessage="1" showErrorMessage="1" sqref="C111:D114">
      <formula1>$O$110:$O$112</formula1>
    </dataValidation>
    <dataValidation allowBlank="1" showInputMessage="1" showErrorMessage="1" prompt="Enter a name for the roof assembly" sqref="B77:B81"/>
    <dataValidation allowBlank="1" showInputMessage="1" showErrorMessage="1" prompt="Enter a name for the external wall assembly" sqref="B43:B47"/>
    <dataValidation allowBlank="1" showInputMessage="1" showErrorMessage="1" prompt="Enter a name for the glazing system" sqref="B111:B114"/>
    <dataValidation allowBlank="1" showInputMessage="1" showErrorMessage="1" prompt="Overall U-value of the facade." sqref="C186:C192"/>
    <dataValidation allowBlank="1" showInputMessage="1" showErrorMessage="1" prompt="Overall U-value of the walls." sqref="C193 G193"/>
    <dataValidation type="list" allowBlank="1" showInputMessage="1" showErrorMessage="1" sqref="C43:D47">
      <formula1>$O$42:$O$47</formula1>
    </dataValidation>
    <dataValidation type="list" allowBlank="1" showInputMessage="1" showErrorMessage="1" sqref="C77:D81">
      <formula1>$O$75:$O$81</formula1>
    </dataValidation>
    <dataValidation allowBlank="1" showInputMessage="1" showErrorMessage="1" prompt="Type of the solid wall surface" sqref="G150:G154 G282:G286"/>
    <dataValidation allowBlank="1" showInputMessage="1" showErrorMessage="1" prompt="Type of the solid roof surface" sqref="B150:B154 B282:B286"/>
    <dataValidation type="list" allowBlank="1" showInputMessage="1" showErrorMessage="1" sqref="D150:D154 D282:D286">
      <formula1>"Select,Solar reflectivity &gt; 0.7,Green roof,External shadings,PV panels, Solar collector,No"</formula1>
    </dataValidation>
    <dataValidation type="list" allowBlank="1" showInputMessage="1" showErrorMessage="1" sqref="I150:J154 I282:J286">
      <formula1>"Select,Solar reflectivity &gt; 0.4,Green walls,External shadings,PV panels,No"</formula1>
    </dataValidation>
  </dataValidations>
  <hyperlinks>
    <hyperlink ref="K2" location="'E-1 Passive Design'!B3" tooltip="E-1" display="E-1"/>
    <hyperlink ref="K3" location="'E-3 Home cooling'!B3" tooltip="E-3" display="E-3"/>
    <hyperlink ref="K4" location="'E-4 Artificial Lighting'!D3" tooltip="E-4" display="E-4"/>
    <hyperlink ref="L3" location="'E-6 Energy Efficient Appliances'!E3" tooltip="E-6" display="E-6"/>
    <hyperlink ref="L2" location="'E-5 Water heating'!D3" tooltip="E-5" display="E-5"/>
    <hyperlink ref="M3" location="'Energy BPC'!B3" tooltip="BPC" display="BPC"/>
    <hyperlink ref="L4" location="'E-7 Energy Monitor'!D3" tooltip="E-7" display="E-7"/>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58B527"/>
  </sheetPr>
  <dimension ref="A1:X347"/>
  <sheetViews>
    <sheetView showRowColHeaders="0" zoomScaleNormal="100" workbookViewId="0">
      <pane ySplit="8" topLeftCell="A9" activePane="bottomLeft" state="frozen"/>
      <selection activeCell="E9" sqref="E9:F9"/>
      <selection pane="bottomLeft" activeCell="M4" sqref="M4"/>
    </sheetView>
  </sheetViews>
  <sheetFormatPr defaultColWidth="0" defaultRowHeight="15" zeroHeight="1" x14ac:dyDescent="0.25"/>
  <cols>
    <col min="1" max="1" width="3.42578125" customWidth="1"/>
    <col min="2" max="2" width="18.140625" customWidth="1"/>
    <col min="3" max="3" width="17.42578125" customWidth="1"/>
    <col min="4" max="4" width="19.42578125" customWidth="1"/>
    <col min="5" max="5" width="16" customWidth="1"/>
    <col min="6" max="6" width="15.42578125" customWidth="1"/>
    <col min="7" max="7" width="18.28515625" customWidth="1"/>
    <col min="8" max="8" width="16.85546875" customWidth="1"/>
    <col min="9" max="9" width="16.7109375" customWidth="1"/>
    <col min="10" max="10" width="14.5703125" customWidth="1"/>
    <col min="11" max="11" width="13.7109375" customWidth="1"/>
    <col min="12" max="12" width="10.7109375" customWidth="1"/>
    <col min="13" max="13" width="10.85546875" customWidth="1"/>
    <col min="14" max="14" width="10.140625" customWidth="1"/>
    <col min="15" max="24" width="23" hidden="1" customWidth="1"/>
    <col min="25" max="16384" width="9.140625" hidden="1"/>
  </cols>
  <sheetData>
    <row r="1" spans="1:19" ht="25.5" customHeight="1" x14ac:dyDescent="0.25">
      <c r="A1" s="329" t="s">
        <v>19</v>
      </c>
      <c r="B1" s="215"/>
      <c r="C1" s="215"/>
      <c r="D1" s="215"/>
      <c r="E1" s="215"/>
      <c r="F1" s="215"/>
      <c r="G1" s="210"/>
      <c r="H1" s="210"/>
      <c r="I1" s="210"/>
      <c r="J1" s="210"/>
      <c r="K1" s="210"/>
      <c r="L1" s="97"/>
      <c r="M1" s="97"/>
      <c r="N1" s="97"/>
      <c r="O1" s="42"/>
      <c r="P1" s="42"/>
      <c r="Q1" s="42"/>
      <c r="R1" s="42"/>
      <c r="S1" s="42"/>
    </row>
    <row r="2" spans="1:19" ht="15" customHeight="1" x14ac:dyDescent="0.25">
      <c r="A2" s="4"/>
      <c r="B2" s="4"/>
      <c r="C2" s="4"/>
      <c r="D2" s="4"/>
      <c r="E2" s="4"/>
      <c r="F2" s="4"/>
      <c r="G2" s="5"/>
      <c r="H2" s="5"/>
      <c r="I2" s="1426" t="s">
        <v>544</v>
      </c>
      <c r="J2" s="1426"/>
      <c r="K2" s="1426"/>
      <c r="L2" s="239" t="s">
        <v>62</v>
      </c>
      <c r="M2" s="239" t="s">
        <v>77</v>
      </c>
      <c r="N2" s="239"/>
      <c r="O2" s="42"/>
      <c r="P2" s="42"/>
      <c r="Q2" s="42"/>
      <c r="R2" s="42"/>
      <c r="S2" s="42"/>
    </row>
    <row r="3" spans="1:19" ht="15" customHeight="1" x14ac:dyDescent="0.25">
      <c r="A3" s="4"/>
      <c r="B3" s="4"/>
      <c r="C3" s="4"/>
      <c r="D3" s="4"/>
      <c r="E3" s="4"/>
      <c r="F3" s="4"/>
      <c r="G3" s="5"/>
      <c r="H3" s="5"/>
      <c r="I3" s="1426"/>
      <c r="J3" s="1426"/>
      <c r="K3" s="1426"/>
      <c r="L3" s="239" t="s">
        <v>66</v>
      </c>
      <c r="M3" s="239" t="s">
        <v>81</v>
      </c>
      <c r="N3" s="239" t="s">
        <v>79</v>
      </c>
      <c r="O3" s="42"/>
      <c r="P3" s="42"/>
      <c r="Q3" s="42"/>
      <c r="R3" s="42"/>
      <c r="S3" s="42"/>
    </row>
    <row r="4" spans="1:19" ht="15" customHeight="1" x14ac:dyDescent="0.25">
      <c r="A4" s="4"/>
      <c r="B4" s="4"/>
      <c r="C4" s="4"/>
      <c r="D4" s="4"/>
      <c r="E4" s="4"/>
      <c r="F4" s="4"/>
      <c r="G4" s="5"/>
      <c r="H4" s="5"/>
      <c r="I4" s="1427"/>
      <c r="J4" s="1427"/>
      <c r="K4" s="1427"/>
      <c r="L4" s="239" t="s">
        <v>73</v>
      </c>
      <c r="M4" s="239" t="s">
        <v>102</v>
      </c>
      <c r="N4" s="240"/>
      <c r="O4" s="42"/>
      <c r="P4" s="42"/>
      <c r="Q4" s="42"/>
      <c r="R4" s="42"/>
      <c r="S4" s="42"/>
    </row>
    <row r="5" spans="1:19" s="42" customFormat="1" ht="21" customHeight="1" x14ac:dyDescent="0.25">
      <c r="A5" s="1417" t="s">
        <v>2186</v>
      </c>
      <c r="B5" s="1418"/>
      <c r="C5" s="1418"/>
      <c r="D5" s="1418"/>
      <c r="E5" s="1418"/>
      <c r="F5" s="1418"/>
      <c r="G5" s="1418"/>
      <c r="H5" s="1418"/>
      <c r="I5" s="1418"/>
      <c r="J5" s="1418"/>
      <c r="K5" s="1418"/>
      <c r="L5" s="1418"/>
      <c r="M5" s="1418"/>
      <c r="N5" s="1419"/>
    </row>
    <row r="6" spans="1:19" s="42" customFormat="1" ht="21" customHeight="1" x14ac:dyDescent="0.25">
      <c r="A6" s="1420"/>
      <c r="B6" s="1421"/>
      <c r="C6" s="1421"/>
      <c r="D6" s="1421"/>
      <c r="E6" s="1421"/>
      <c r="F6" s="1421"/>
      <c r="G6" s="1421"/>
      <c r="H6" s="1421"/>
      <c r="I6" s="1421"/>
      <c r="J6" s="1421"/>
      <c r="K6" s="1421"/>
      <c r="L6" s="1421"/>
      <c r="M6" s="1421"/>
      <c r="N6" s="1422"/>
    </row>
    <row r="7" spans="1:19" s="42" customFormat="1" ht="21" customHeight="1" x14ac:dyDescent="0.25">
      <c r="A7" s="1423"/>
      <c r="B7" s="1424"/>
      <c r="C7" s="1424"/>
      <c r="D7" s="1424"/>
      <c r="E7" s="1424"/>
      <c r="F7" s="1424"/>
      <c r="G7" s="1424"/>
      <c r="H7" s="1424"/>
      <c r="I7" s="1424"/>
      <c r="J7" s="1424"/>
      <c r="K7" s="1424"/>
      <c r="L7" s="1424"/>
      <c r="M7" s="1424"/>
      <c r="N7" s="1425"/>
    </row>
    <row r="8" spans="1:19" s="42" customFormat="1" ht="12" customHeight="1" x14ac:dyDescent="0.25">
      <c r="A8" s="53"/>
      <c r="B8" s="54"/>
      <c r="C8" s="54"/>
      <c r="D8" s="54"/>
      <c r="E8" s="54"/>
      <c r="F8" s="53"/>
      <c r="G8" s="53"/>
      <c r="H8" s="53"/>
      <c r="I8" s="53"/>
      <c r="J8" s="53"/>
      <c r="K8" s="53"/>
      <c r="L8" s="53"/>
      <c r="M8" s="53"/>
      <c r="N8" s="53"/>
    </row>
    <row r="9" spans="1:19" s="42" customFormat="1" ht="17.25" customHeight="1" x14ac:dyDescent="0.25">
      <c r="A9" s="1432" t="s">
        <v>191</v>
      </c>
      <c r="B9" s="1432"/>
      <c r="C9" s="1432"/>
      <c r="D9" s="1432"/>
      <c r="E9" s="1432"/>
      <c r="F9" s="1432"/>
      <c r="G9" s="1432"/>
      <c r="H9" s="1432"/>
      <c r="I9" s="1432"/>
      <c r="J9" s="1432"/>
      <c r="K9" s="1432"/>
      <c r="L9" s="1432"/>
      <c r="M9" s="1432"/>
      <c r="N9" s="1432"/>
    </row>
    <row r="10" spans="1:19" s="42" customFormat="1" x14ac:dyDescent="0.25">
      <c r="A10" s="53"/>
      <c r="B10" s="54"/>
      <c r="C10" s="54"/>
      <c r="D10" s="54"/>
      <c r="E10" s="54"/>
      <c r="F10" s="53"/>
      <c r="G10" s="53"/>
      <c r="H10" s="53"/>
      <c r="I10" s="53"/>
      <c r="J10" s="53"/>
      <c r="K10" s="53"/>
      <c r="L10" s="53"/>
      <c r="M10" s="53"/>
      <c r="N10" s="53"/>
    </row>
    <row r="11" spans="1:19" s="42" customFormat="1" x14ac:dyDescent="0.25">
      <c r="A11" s="53"/>
      <c r="B11" s="703" t="s">
        <v>1150</v>
      </c>
      <c r="C11" s="54"/>
      <c r="D11" s="54"/>
      <c r="E11" s="54"/>
      <c r="F11" s="53"/>
      <c r="G11" s="53"/>
      <c r="H11" s="53"/>
      <c r="I11" s="53"/>
      <c r="J11" s="53"/>
      <c r="K11" s="53"/>
      <c r="L11" s="53"/>
      <c r="M11" s="53"/>
      <c r="N11" s="53"/>
    </row>
    <row r="12" spans="1:19" s="42" customFormat="1" x14ac:dyDescent="0.25">
      <c r="A12" s="53"/>
      <c r="B12" s="612"/>
      <c r="C12" s="54"/>
      <c r="D12" s="54"/>
      <c r="E12" s="54"/>
      <c r="F12" s="53"/>
      <c r="G12" s="53"/>
      <c r="H12" s="53"/>
      <c r="I12" s="53"/>
      <c r="J12" s="53"/>
      <c r="K12" s="53"/>
      <c r="L12" s="53"/>
      <c r="M12" s="53"/>
      <c r="N12" s="53"/>
    </row>
    <row r="13" spans="1:19" s="42" customFormat="1" ht="18" customHeight="1" x14ac:dyDescent="0.25">
      <c r="A13" s="53"/>
      <c r="B13" s="1564" t="s">
        <v>20</v>
      </c>
      <c r="C13" s="1565"/>
      <c r="D13" s="1565"/>
      <c r="E13" s="1565"/>
      <c r="F13" s="1565"/>
      <c r="G13" s="485" t="s">
        <v>157</v>
      </c>
      <c r="H13" s="485" t="s">
        <v>56</v>
      </c>
      <c r="I13" s="98" t="s">
        <v>521</v>
      </c>
      <c r="J13" s="486"/>
      <c r="K13" s="53"/>
      <c r="L13" s="53"/>
      <c r="M13" s="53"/>
      <c r="N13" s="53"/>
    </row>
    <row r="14" spans="1:19" s="42" customFormat="1" ht="16.5" customHeight="1" x14ac:dyDescent="0.25">
      <c r="A14" s="53"/>
      <c r="B14" s="1572" t="s">
        <v>16</v>
      </c>
      <c r="C14" s="1573" t="s">
        <v>245</v>
      </c>
      <c r="D14" s="1573" t="s">
        <v>245</v>
      </c>
      <c r="E14" s="1573" t="s">
        <v>245</v>
      </c>
      <c r="F14" s="1574"/>
      <c r="G14" s="1544">
        <v>6</v>
      </c>
      <c r="H14" s="1558" t="str">
        <f>IF(D40&lt;&gt;"Prescriptive Path","/",IF(C98="",0,C98))</f>
        <v>/</v>
      </c>
      <c r="I14" s="1558" t="str">
        <f>IF(D40&lt;&gt;"Prescriptive Path","/",IF(C99="","No",C99))</f>
        <v>/</v>
      </c>
      <c r="J14" s="53"/>
      <c r="K14" s="53"/>
      <c r="L14" s="53"/>
      <c r="M14" s="53"/>
      <c r="N14" s="53"/>
    </row>
    <row r="15" spans="1:19" s="42" customFormat="1" ht="24.75" customHeight="1" x14ac:dyDescent="0.25">
      <c r="A15" s="53"/>
      <c r="B15" s="1578" t="s">
        <v>2183</v>
      </c>
      <c r="C15" s="1579" t="s">
        <v>245</v>
      </c>
      <c r="D15" s="1579" t="s">
        <v>245</v>
      </c>
      <c r="E15" s="1579" t="s">
        <v>245</v>
      </c>
      <c r="F15" s="1580"/>
      <c r="G15" s="1545"/>
      <c r="H15" s="1559"/>
      <c r="I15" s="1559"/>
      <c r="J15" s="53"/>
      <c r="K15" s="53"/>
      <c r="L15" s="53"/>
      <c r="M15" s="53"/>
      <c r="N15" s="53"/>
    </row>
    <row r="16" spans="1:19" s="42" customFormat="1" ht="15" customHeight="1" x14ac:dyDescent="0.25">
      <c r="A16" s="53"/>
      <c r="B16" s="1588" t="s">
        <v>2184</v>
      </c>
      <c r="C16" s="1589" t="s">
        <v>1111</v>
      </c>
      <c r="D16" s="1589" t="s">
        <v>1111</v>
      </c>
      <c r="E16" s="1589" t="s">
        <v>1111</v>
      </c>
      <c r="F16" s="1590"/>
      <c r="G16" s="1545"/>
      <c r="H16" s="1559"/>
      <c r="I16" s="1559"/>
      <c r="J16" s="53"/>
      <c r="K16" s="53"/>
      <c r="L16" s="53"/>
      <c r="M16" s="53"/>
      <c r="N16" s="53"/>
    </row>
    <row r="17" spans="1:19" s="42" customFormat="1" ht="15" customHeight="1" x14ac:dyDescent="0.25">
      <c r="A17" s="53"/>
      <c r="B17" s="1578" t="s">
        <v>555</v>
      </c>
      <c r="C17" s="1579" t="s">
        <v>245</v>
      </c>
      <c r="D17" s="1579" t="s">
        <v>245</v>
      </c>
      <c r="E17" s="1579" t="s">
        <v>245</v>
      </c>
      <c r="F17" s="1580"/>
      <c r="G17" s="1545"/>
      <c r="H17" s="1559"/>
      <c r="I17" s="1559"/>
      <c r="J17" s="53"/>
      <c r="K17" s="53"/>
      <c r="L17" s="53"/>
      <c r="M17" s="53"/>
      <c r="N17" s="53"/>
      <c r="Q17"/>
      <c r="R17"/>
    </row>
    <row r="18" spans="1:19" s="42" customFormat="1" ht="15" customHeight="1" x14ac:dyDescent="0.25">
      <c r="A18" s="53"/>
      <c r="B18" s="1578" t="s">
        <v>556</v>
      </c>
      <c r="C18" s="1579"/>
      <c r="D18" s="1579"/>
      <c r="E18" s="1579"/>
      <c r="F18" s="1580"/>
      <c r="G18" s="1546"/>
      <c r="H18" s="1560"/>
      <c r="I18" s="1560"/>
      <c r="J18" s="53"/>
      <c r="K18" s="53"/>
      <c r="L18" s="53"/>
      <c r="M18" s="53"/>
      <c r="N18" s="53"/>
      <c r="Q18"/>
      <c r="R18"/>
    </row>
    <row r="19" spans="1:19" s="42" customFormat="1" ht="16.5" customHeight="1" x14ac:dyDescent="0.25">
      <c r="A19" s="53"/>
      <c r="B19" s="1575" t="s">
        <v>15</v>
      </c>
      <c r="C19" s="1576"/>
      <c r="D19" s="1576"/>
      <c r="E19" s="1576"/>
      <c r="F19" s="1577"/>
      <c r="G19" s="1544">
        <v>5</v>
      </c>
      <c r="H19" s="1544" t="str">
        <f>IF(D40&lt;&gt;"Performance Path","/",IF(C166="",0,C166))</f>
        <v>/</v>
      </c>
      <c r="I19" s="1544" t="str">
        <f>IF(D40&lt;&gt;"Performance Path","/",IF(C167="","No",C167))</f>
        <v>/</v>
      </c>
      <c r="J19" s="53"/>
      <c r="K19" s="53"/>
      <c r="L19" s="53"/>
      <c r="M19" s="53"/>
      <c r="N19" s="53"/>
      <c r="Q19"/>
      <c r="R19"/>
    </row>
    <row r="20" spans="1:19" s="42" customFormat="1" ht="26.25" customHeight="1" x14ac:dyDescent="0.25">
      <c r="A20" s="53"/>
      <c r="B20" s="1578" t="s">
        <v>2183</v>
      </c>
      <c r="C20" s="1579" t="s">
        <v>245</v>
      </c>
      <c r="D20" s="1579" t="s">
        <v>245</v>
      </c>
      <c r="E20" s="1579" t="s">
        <v>245</v>
      </c>
      <c r="F20" s="1580"/>
      <c r="G20" s="1545"/>
      <c r="H20" s="1545"/>
      <c r="I20" s="1545"/>
      <c r="J20" s="54"/>
      <c r="K20" s="53"/>
      <c r="L20" s="53"/>
      <c r="M20" s="53"/>
      <c r="N20" s="53"/>
      <c r="Q20"/>
      <c r="R20"/>
    </row>
    <row r="21" spans="1:19" s="42" customFormat="1" x14ac:dyDescent="0.25">
      <c r="A21" s="53"/>
      <c r="B21" s="1588" t="s">
        <v>2185</v>
      </c>
      <c r="C21" s="1589" t="s">
        <v>1111</v>
      </c>
      <c r="D21" s="1589" t="s">
        <v>1111</v>
      </c>
      <c r="E21" s="1589" t="s">
        <v>1111</v>
      </c>
      <c r="F21" s="1590"/>
      <c r="G21" s="1545"/>
      <c r="H21" s="1545"/>
      <c r="I21" s="1545"/>
      <c r="J21" s="53"/>
      <c r="K21" s="53"/>
      <c r="L21" s="53"/>
      <c r="M21" s="53"/>
      <c r="N21" s="53"/>
      <c r="Q21"/>
      <c r="R21"/>
    </row>
    <row r="22" spans="1:19" s="42" customFormat="1" ht="38.25" customHeight="1" x14ac:dyDescent="0.25">
      <c r="A22" s="53"/>
      <c r="B22" s="1547" t="s">
        <v>2168</v>
      </c>
      <c r="C22" s="1548"/>
      <c r="D22" s="1548"/>
      <c r="E22" s="1548"/>
      <c r="F22" s="1549"/>
      <c r="G22" s="1546"/>
      <c r="H22" s="1546"/>
      <c r="I22" s="1546"/>
      <c r="J22" s="53"/>
      <c r="K22" s="53"/>
      <c r="L22" s="53"/>
      <c r="M22" s="53"/>
      <c r="N22" s="53"/>
      <c r="Q22"/>
      <c r="R22"/>
    </row>
    <row r="23" spans="1:19" ht="19.5" customHeight="1" x14ac:dyDescent="0.25">
      <c r="A23" s="4"/>
      <c r="B23" s="1606" t="s">
        <v>82</v>
      </c>
      <c r="C23" s="1607"/>
      <c r="D23" s="1607"/>
      <c r="E23" s="1607"/>
      <c r="F23" s="1608"/>
      <c r="G23" s="702">
        <v>6</v>
      </c>
      <c r="H23" s="702">
        <f>MIN(6,SUM(H14:H22))</f>
        <v>0</v>
      </c>
      <c r="I23" s="702" t="str">
        <f>IF(AND(COUNTIF(I14:I22,"No")=0,COUNTIF(I14:I22,"Yes")&gt;0),"Yes","No")</f>
        <v>No</v>
      </c>
      <c r="J23" s="53"/>
      <c r="K23" s="5"/>
      <c r="L23" s="5"/>
      <c r="M23" s="53"/>
      <c r="N23" s="5"/>
    </row>
    <row r="24" spans="1:19" ht="15" customHeight="1" x14ac:dyDescent="0.25">
      <c r="A24" s="4"/>
      <c r="B24" s="4"/>
      <c r="C24" s="4"/>
      <c r="D24" s="4"/>
      <c r="E24" s="4"/>
      <c r="F24" s="4"/>
      <c r="G24" s="5"/>
      <c r="H24" s="53"/>
      <c r="I24" s="53"/>
      <c r="J24" s="5"/>
      <c r="K24" s="5"/>
      <c r="L24" s="5"/>
      <c r="M24" s="53"/>
      <c r="N24" s="5"/>
    </row>
    <row r="25" spans="1:19" s="42" customFormat="1" ht="18" customHeight="1" x14ac:dyDescent="0.25">
      <c r="A25" s="53"/>
      <c r="B25" s="1564" t="s">
        <v>21</v>
      </c>
      <c r="C25" s="1565"/>
      <c r="D25" s="1565"/>
      <c r="E25" s="1565"/>
      <c r="F25" s="1565"/>
      <c r="G25" s="485" t="s">
        <v>157</v>
      </c>
      <c r="H25" s="485" t="s">
        <v>56</v>
      </c>
      <c r="I25" s="98" t="s">
        <v>521</v>
      </c>
      <c r="J25" s="486"/>
      <c r="K25" s="53"/>
      <c r="L25" s="53"/>
      <c r="M25" s="53"/>
      <c r="N25" s="53"/>
      <c r="Q25"/>
      <c r="R25"/>
    </row>
    <row r="26" spans="1:19" s="42" customFormat="1" ht="16.5" customHeight="1" x14ac:dyDescent="0.25">
      <c r="A26" s="53"/>
      <c r="B26" s="1572" t="s">
        <v>16</v>
      </c>
      <c r="C26" s="1573"/>
      <c r="D26" s="1573"/>
      <c r="E26" s="1573"/>
      <c r="F26" s="1574"/>
      <c r="G26" s="1544">
        <v>4</v>
      </c>
      <c r="H26" s="1558">
        <f>IF(D171&lt;&gt;"Prescriptive Path","/",IF(C213="",0,C213))</f>
        <v>0</v>
      </c>
      <c r="I26" s="1558" t="str">
        <f>IF(D171&lt;&gt;"Prescriptive Path","/",IF(C214="","No",C214))</f>
        <v>No</v>
      </c>
      <c r="J26" s="53"/>
      <c r="K26" s="53"/>
      <c r="L26" s="53"/>
      <c r="M26" s="53"/>
      <c r="N26" s="53"/>
    </row>
    <row r="27" spans="1:19" s="42" customFormat="1" ht="26.25" customHeight="1" x14ac:dyDescent="0.25">
      <c r="A27" s="53"/>
      <c r="B27" s="1578" t="s">
        <v>2187</v>
      </c>
      <c r="C27" s="1579"/>
      <c r="D27" s="1579"/>
      <c r="E27" s="1579"/>
      <c r="F27" s="1580"/>
      <c r="G27" s="1545"/>
      <c r="H27" s="1559"/>
      <c r="I27" s="1559"/>
      <c r="J27" s="53"/>
      <c r="K27" s="53"/>
      <c r="L27" s="53"/>
      <c r="M27" s="53"/>
      <c r="N27" s="53"/>
    </row>
    <row r="28" spans="1:19" s="42" customFormat="1" ht="15" customHeight="1" x14ac:dyDescent="0.25">
      <c r="A28" s="53"/>
      <c r="B28" s="1588" t="s">
        <v>2189</v>
      </c>
      <c r="C28" s="1589" t="s">
        <v>1111</v>
      </c>
      <c r="D28" s="1589" t="s">
        <v>1111</v>
      </c>
      <c r="E28" s="1589" t="s">
        <v>1111</v>
      </c>
      <c r="F28" s="1590"/>
      <c r="G28" s="1545"/>
      <c r="H28" s="1559"/>
      <c r="I28" s="1559"/>
      <c r="J28" s="53"/>
      <c r="K28" s="53"/>
      <c r="L28" s="53"/>
      <c r="M28" s="53"/>
      <c r="N28" s="53"/>
    </row>
    <row r="29" spans="1:19" s="42" customFormat="1" ht="15" customHeight="1" x14ac:dyDescent="0.25">
      <c r="A29" s="53"/>
      <c r="B29" s="1578" t="s">
        <v>1943</v>
      </c>
      <c r="C29" s="1579"/>
      <c r="D29" s="1579"/>
      <c r="E29" s="1579"/>
      <c r="F29" s="1580"/>
      <c r="G29" s="1545"/>
      <c r="H29" s="1559"/>
      <c r="I29" s="1559"/>
      <c r="J29" s="53"/>
      <c r="K29" s="53"/>
      <c r="L29" s="53"/>
      <c r="M29" s="53"/>
      <c r="N29" s="53"/>
      <c r="Q29"/>
      <c r="R29"/>
      <c r="S29"/>
    </row>
    <row r="30" spans="1:19" s="42" customFormat="1" ht="15" customHeight="1" x14ac:dyDescent="0.25">
      <c r="A30" s="53"/>
      <c r="B30" s="1578" t="s">
        <v>1944</v>
      </c>
      <c r="C30" s="1579"/>
      <c r="D30" s="1579"/>
      <c r="E30" s="1579"/>
      <c r="F30" s="1580">
        <v>2</v>
      </c>
      <c r="G30" s="1545"/>
      <c r="H30" s="1559"/>
      <c r="I30" s="1559"/>
      <c r="J30" s="53"/>
      <c r="K30" s="53"/>
      <c r="L30" s="53"/>
      <c r="M30" s="53"/>
      <c r="N30" s="53"/>
      <c r="Q30"/>
      <c r="R30"/>
      <c r="S30"/>
    </row>
    <row r="31" spans="1:19" s="42" customFormat="1" ht="15" customHeight="1" x14ac:dyDescent="0.25">
      <c r="A31" s="53"/>
      <c r="B31" s="1578" t="s">
        <v>1945</v>
      </c>
      <c r="C31" s="1579"/>
      <c r="D31" s="1579"/>
      <c r="E31" s="1579"/>
      <c r="F31" s="1580">
        <v>3</v>
      </c>
      <c r="G31" s="1546"/>
      <c r="H31" s="1560"/>
      <c r="I31" s="1560"/>
      <c r="J31" s="53"/>
      <c r="K31" s="53"/>
      <c r="L31" s="53"/>
      <c r="M31" s="53"/>
      <c r="N31" s="53"/>
      <c r="Q31"/>
      <c r="R31"/>
      <c r="S31"/>
    </row>
    <row r="32" spans="1:19" s="42" customFormat="1" ht="16.5" customHeight="1" x14ac:dyDescent="0.25">
      <c r="A32" s="53"/>
      <c r="B32" s="1575" t="s">
        <v>15</v>
      </c>
      <c r="C32" s="1576"/>
      <c r="D32" s="1576"/>
      <c r="E32" s="1576"/>
      <c r="F32" s="1577"/>
      <c r="G32" s="1544">
        <v>4</v>
      </c>
      <c r="H32" s="1558" t="str">
        <f>IF(D171&lt;&gt;"Performance Path","/",IF(C274="",0,C274))</f>
        <v>/</v>
      </c>
      <c r="I32" s="1558" t="str">
        <f>IF(D171&lt;&gt;"Performance Path","/",IF(C275="","No",C275))</f>
        <v>/</v>
      </c>
      <c r="J32" s="53"/>
      <c r="K32" s="53"/>
      <c r="L32" s="53"/>
      <c r="M32" s="53"/>
      <c r="N32" s="53"/>
      <c r="Q32"/>
      <c r="R32"/>
      <c r="S32"/>
    </row>
    <row r="33" spans="1:19" s="42" customFormat="1" ht="26.25" customHeight="1" x14ac:dyDescent="0.25">
      <c r="A33" s="53"/>
      <c r="B33" s="1578" t="s">
        <v>2190</v>
      </c>
      <c r="C33" s="1579"/>
      <c r="D33" s="1579"/>
      <c r="E33" s="1579"/>
      <c r="F33" s="1580"/>
      <c r="G33" s="1545"/>
      <c r="H33" s="1559"/>
      <c r="I33" s="1559"/>
      <c r="J33" s="53"/>
      <c r="K33" s="53"/>
      <c r="L33" s="53"/>
      <c r="M33" s="53"/>
      <c r="N33" s="53"/>
      <c r="Q33"/>
      <c r="R33"/>
      <c r="S33"/>
    </row>
    <row r="34" spans="1:19" s="42" customFormat="1" ht="15" customHeight="1" x14ac:dyDescent="0.25">
      <c r="A34" s="53"/>
      <c r="B34" s="1588" t="s">
        <v>2188</v>
      </c>
      <c r="C34" s="1589" t="s">
        <v>1111</v>
      </c>
      <c r="D34" s="1589" t="s">
        <v>1111</v>
      </c>
      <c r="E34" s="1589" t="s">
        <v>1111</v>
      </c>
      <c r="F34" s="1590"/>
      <c r="G34" s="1545"/>
      <c r="H34" s="1559"/>
      <c r="I34" s="1559"/>
      <c r="J34" s="53"/>
      <c r="K34" s="53"/>
      <c r="L34" s="53"/>
      <c r="M34" s="53"/>
      <c r="N34" s="53"/>
      <c r="Q34"/>
      <c r="R34"/>
      <c r="S34"/>
    </row>
    <row r="35" spans="1:19" s="42" customFormat="1" ht="39" customHeight="1" x14ac:dyDescent="0.25">
      <c r="A35" s="53"/>
      <c r="B35" s="1605" t="s">
        <v>2202</v>
      </c>
      <c r="C35" s="1548" t="s">
        <v>246</v>
      </c>
      <c r="D35" s="1548" t="s">
        <v>246</v>
      </c>
      <c r="E35" s="1548" t="s">
        <v>246</v>
      </c>
      <c r="F35" s="1549">
        <v>3</v>
      </c>
      <c r="G35" s="1546"/>
      <c r="H35" s="1560"/>
      <c r="I35" s="1560"/>
      <c r="J35" s="53"/>
      <c r="K35" s="53"/>
      <c r="L35" s="53"/>
      <c r="M35" s="53"/>
      <c r="N35" s="53"/>
      <c r="Q35"/>
      <c r="R35"/>
      <c r="S35"/>
    </row>
    <row r="36" spans="1:19" s="42" customFormat="1" ht="19.5" customHeight="1" x14ac:dyDescent="0.25">
      <c r="A36" s="53"/>
      <c r="B36" s="1606" t="s">
        <v>82</v>
      </c>
      <c r="C36" s="1607"/>
      <c r="D36" s="1607"/>
      <c r="E36" s="1607"/>
      <c r="F36" s="1608"/>
      <c r="G36" s="702">
        <v>4</v>
      </c>
      <c r="H36" s="702">
        <f>MIN(4,SUM(H26:H35))</f>
        <v>0</v>
      </c>
      <c r="I36" s="702" t="str">
        <f>IF(AND(COUNTIF(I27:I35,"No")=0,COUNTIF(I27:I35,"Yes")&gt;0),"Yes","No")</f>
        <v>No</v>
      </c>
      <c r="J36" s="53"/>
      <c r="K36" s="53"/>
      <c r="L36" s="53"/>
      <c r="M36" s="53"/>
      <c r="N36" s="53"/>
      <c r="Q36"/>
      <c r="R36"/>
      <c r="S36"/>
    </row>
    <row r="37" spans="1:19" ht="15" customHeight="1" x14ac:dyDescent="0.25">
      <c r="A37" s="4"/>
      <c r="B37" s="4"/>
      <c r="C37" s="4"/>
      <c r="D37" s="4"/>
      <c r="E37" s="4"/>
      <c r="F37" s="4"/>
      <c r="G37" s="5"/>
      <c r="H37" s="5"/>
      <c r="I37" s="5"/>
      <c r="J37" s="5"/>
      <c r="K37" s="5"/>
      <c r="L37" s="5"/>
      <c r="M37" s="5"/>
      <c r="N37" s="5"/>
    </row>
    <row r="38" spans="1:19" ht="18" customHeight="1" x14ac:dyDescent="0.25">
      <c r="A38" s="1432" t="s">
        <v>20</v>
      </c>
      <c r="B38" s="1432"/>
      <c r="C38" s="1432"/>
      <c r="D38" s="1432"/>
      <c r="E38" s="1432"/>
      <c r="F38" s="1432"/>
      <c r="G38" s="1432"/>
      <c r="H38" s="1432"/>
      <c r="I38" s="1432"/>
      <c r="J38" s="1432"/>
      <c r="K38" s="1432"/>
      <c r="L38" s="1432"/>
      <c r="M38" s="1432"/>
      <c r="N38" s="1432"/>
    </row>
    <row r="39" spans="1:19" ht="15" customHeight="1" x14ac:dyDescent="0.25">
      <c r="A39" s="4"/>
      <c r="B39" s="4"/>
      <c r="C39" s="4"/>
      <c r="D39" s="4"/>
      <c r="E39" s="4"/>
      <c r="F39" s="4"/>
      <c r="G39" s="5"/>
      <c r="H39" s="5"/>
      <c r="I39" s="5"/>
      <c r="J39" s="5"/>
      <c r="K39" s="5"/>
      <c r="L39" s="5"/>
      <c r="M39" s="5"/>
      <c r="N39" s="5"/>
    </row>
    <row r="40" spans="1:19" ht="15" customHeight="1" x14ac:dyDescent="0.25">
      <c r="A40" s="4"/>
      <c r="B40" s="1586" t="s">
        <v>247</v>
      </c>
      <c r="C40" s="1587"/>
      <c r="D40" s="270" t="s">
        <v>129</v>
      </c>
      <c r="E40" s="4"/>
      <c r="F40" s="4"/>
      <c r="G40" s="5"/>
      <c r="H40" s="5"/>
      <c r="I40" s="5"/>
      <c r="J40" s="5"/>
      <c r="K40" s="5"/>
      <c r="L40" s="5"/>
      <c r="M40" s="5"/>
      <c r="N40" s="5"/>
    </row>
    <row r="41" spans="1:19" ht="17.25" customHeight="1" x14ac:dyDescent="0.25">
      <c r="A41" s="4"/>
      <c r="B41" s="4"/>
      <c r="C41" s="4"/>
      <c r="D41" s="4"/>
      <c r="E41" s="4"/>
      <c r="F41" s="4"/>
      <c r="G41" s="5"/>
      <c r="H41" s="5"/>
      <c r="I41" s="5"/>
      <c r="J41" s="5"/>
      <c r="K41" s="5"/>
      <c r="L41" s="5"/>
      <c r="M41" s="5"/>
      <c r="N41" s="5"/>
    </row>
    <row r="42" spans="1:19" ht="18" customHeight="1" x14ac:dyDescent="0.25">
      <c r="A42" s="1432" t="s">
        <v>548</v>
      </c>
      <c r="B42" s="1432"/>
      <c r="C42" s="1432"/>
      <c r="D42" s="1432"/>
      <c r="E42" s="1432"/>
      <c r="F42" s="1432"/>
      <c r="G42" s="1432"/>
      <c r="H42" s="1432"/>
      <c r="I42" s="1432"/>
      <c r="J42" s="1432"/>
      <c r="K42" s="1432"/>
      <c r="L42" s="1432"/>
      <c r="M42" s="1432"/>
      <c r="N42" s="1432"/>
    </row>
    <row r="43" spans="1:19" ht="13.5" customHeight="1" x14ac:dyDescent="0.25">
      <c r="A43" s="296"/>
      <c r="B43" s="213"/>
      <c r="C43" s="213"/>
      <c r="D43" s="213"/>
      <c r="E43" s="213"/>
      <c r="F43" s="213"/>
      <c r="G43" s="213"/>
      <c r="H43" s="213"/>
      <c r="I43" s="213"/>
      <c r="J43" s="213"/>
      <c r="K43" s="213"/>
      <c r="L43" s="213"/>
      <c r="M43" s="213"/>
      <c r="N43" s="213"/>
    </row>
    <row r="44" spans="1:19" ht="16.5" customHeight="1" x14ac:dyDescent="0.25">
      <c r="A44" s="1410" t="s">
        <v>265</v>
      </c>
      <c r="B44" s="1410"/>
      <c r="C44" s="1410"/>
      <c r="D44" s="213"/>
      <c r="E44" s="213"/>
      <c r="F44" s="1159"/>
      <c r="G44" s="213"/>
      <c r="H44" s="213"/>
      <c r="I44" s="213"/>
      <c r="J44" s="213"/>
      <c r="K44" s="213"/>
      <c r="L44" s="213"/>
      <c r="M44" s="213"/>
      <c r="N44" s="213"/>
    </row>
    <row r="45" spans="1:19" ht="11.25" customHeight="1" x14ac:dyDescent="0.25">
      <c r="A45" s="213"/>
      <c r="B45" s="213"/>
      <c r="C45" s="213"/>
      <c r="D45" s="213"/>
      <c r="E45" s="213"/>
      <c r="F45" s="213"/>
      <c r="G45" s="213"/>
      <c r="H45" s="213"/>
      <c r="I45" s="213"/>
      <c r="J45" s="213"/>
      <c r="K45" s="213"/>
      <c r="L45" s="213"/>
      <c r="M45" s="213"/>
      <c r="N45" s="213"/>
    </row>
    <row r="46" spans="1:19" ht="27" customHeight="1" x14ac:dyDescent="0.25">
      <c r="A46" s="213"/>
      <c r="B46" s="1598" t="s">
        <v>2192</v>
      </c>
      <c r="C46" s="1599"/>
      <c r="D46" s="1599"/>
      <c r="E46" s="1599"/>
      <c r="F46" s="1599"/>
      <c r="G46" s="1599"/>
      <c r="H46" s="1599"/>
      <c r="I46" s="1599"/>
      <c r="J46" s="1599"/>
      <c r="K46" s="1599"/>
      <c r="L46" s="1599"/>
      <c r="M46" s="213"/>
      <c r="N46" s="213"/>
    </row>
    <row r="47" spans="1:19" x14ac:dyDescent="0.25">
      <c r="A47" s="213"/>
      <c r="B47" s="257"/>
      <c r="C47" s="213"/>
      <c r="D47" s="213"/>
      <c r="E47" s="213"/>
      <c r="F47" s="213"/>
      <c r="G47" s="213"/>
      <c r="H47" s="213"/>
      <c r="I47" s="213"/>
      <c r="J47" s="213"/>
      <c r="K47" s="213"/>
      <c r="L47" s="213"/>
      <c r="M47" s="213"/>
      <c r="N47" s="213"/>
    </row>
    <row r="48" spans="1:19" x14ac:dyDescent="0.25">
      <c r="A48" s="213"/>
      <c r="B48" s="1582" t="s">
        <v>1028</v>
      </c>
      <c r="C48" s="1583"/>
      <c r="D48" s="1583"/>
      <c r="E48" s="1583"/>
      <c r="F48" s="1583"/>
      <c r="G48" s="1583"/>
      <c r="H48" s="1583"/>
      <c r="I48" s="1583"/>
      <c r="J48" s="1583"/>
      <c r="K48" s="1583"/>
      <c r="L48" s="1584"/>
      <c r="M48" s="213"/>
      <c r="N48" s="213"/>
    </row>
    <row r="49" spans="1:18" x14ac:dyDescent="0.25">
      <c r="A49" s="213"/>
      <c r="B49" s="1592" t="s">
        <v>1027</v>
      </c>
      <c r="C49" s="1593"/>
      <c r="D49" s="1593"/>
      <c r="E49" s="1593"/>
      <c r="F49" s="1593"/>
      <c r="G49" s="1593"/>
      <c r="H49" s="1593"/>
      <c r="I49" s="1593"/>
      <c r="J49" s="1593"/>
      <c r="K49" s="1593"/>
      <c r="L49" s="1594"/>
      <c r="M49" s="213"/>
      <c r="N49" s="213"/>
    </row>
    <row r="50" spans="1:18" ht="27" customHeight="1" x14ac:dyDescent="0.25">
      <c r="A50" s="213"/>
      <c r="B50" s="1595" t="s">
        <v>1026</v>
      </c>
      <c r="C50" s="1596"/>
      <c r="D50" s="1596"/>
      <c r="E50" s="1596"/>
      <c r="F50" s="1596"/>
      <c r="G50" s="1596"/>
      <c r="H50" s="1596"/>
      <c r="I50" s="1596"/>
      <c r="J50" s="1596"/>
      <c r="K50" s="1596"/>
      <c r="L50" s="1597"/>
      <c r="M50" s="213"/>
      <c r="N50" s="213"/>
    </row>
    <row r="51" spans="1:18" x14ac:dyDescent="0.25">
      <c r="A51" s="213"/>
      <c r="B51" s="213"/>
      <c r="C51" s="213"/>
      <c r="D51" s="213"/>
      <c r="E51" s="213"/>
      <c r="F51" s="213"/>
      <c r="G51" s="213"/>
      <c r="H51" s="213"/>
      <c r="I51" s="213"/>
      <c r="J51" s="213"/>
      <c r="K51" s="213"/>
      <c r="L51" s="213"/>
      <c r="M51" s="213"/>
      <c r="N51" s="213"/>
    </row>
    <row r="52" spans="1:18" x14ac:dyDescent="0.25">
      <c r="A52" s="213"/>
      <c r="B52" s="1532" t="s">
        <v>1294</v>
      </c>
      <c r="C52" s="1532"/>
      <c r="D52" s="1532"/>
      <c r="E52" s="1532"/>
      <c r="F52" s="1532"/>
      <c r="G52" s="213"/>
      <c r="H52" s="213"/>
      <c r="I52" s="213"/>
      <c r="J52" s="213"/>
      <c r="K52" s="213"/>
      <c r="L52" s="213"/>
      <c r="M52" s="213"/>
      <c r="N52" s="213"/>
    </row>
    <row r="53" spans="1:18" ht="9.75" customHeight="1" x14ac:dyDescent="0.25">
      <c r="A53" s="213"/>
      <c r="B53" s="675"/>
      <c r="C53" s="675"/>
      <c r="D53" s="675"/>
      <c r="E53" s="675"/>
      <c r="F53" s="675"/>
      <c r="G53" s="213"/>
      <c r="H53" s="213"/>
      <c r="I53" s="213"/>
      <c r="J53" s="213"/>
      <c r="K53" s="213"/>
      <c r="L53" s="213"/>
      <c r="M53" s="213"/>
      <c r="N53" s="213"/>
    </row>
    <row r="54" spans="1:18" ht="16.5" customHeight="1" x14ac:dyDescent="0.25">
      <c r="A54" s="213"/>
      <c r="B54" s="1561" t="s">
        <v>1030</v>
      </c>
      <c r="C54" s="1562"/>
      <c r="D54" s="1562"/>
      <c r="E54" s="1562"/>
      <c r="F54" s="1563"/>
      <c r="G54" s="213"/>
      <c r="H54" s="1561" t="s">
        <v>1031</v>
      </c>
      <c r="I54" s="1562"/>
      <c r="J54" s="1562"/>
      <c r="K54" s="1562"/>
      <c r="L54" s="1562"/>
      <c r="M54" s="1563"/>
      <c r="N54" s="213"/>
    </row>
    <row r="55" spans="1:18" ht="18" customHeight="1" x14ac:dyDescent="0.25">
      <c r="A55" s="213"/>
      <c r="B55" s="1581" t="s">
        <v>1579</v>
      </c>
      <c r="C55" s="1581"/>
      <c r="D55" s="1581"/>
      <c r="E55" s="1581"/>
      <c r="F55" s="190"/>
      <c r="G55" s="213"/>
      <c r="H55" s="1581" t="s">
        <v>1582</v>
      </c>
      <c r="I55" s="1581"/>
      <c r="J55" s="1581"/>
      <c r="K55" s="1581"/>
      <c r="L55" s="1585"/>
      <c r="M55" s="1585"/>
      <c r="N55" s="213"/>
      <c r="O55" s="87" t="b">
        <v>0</v>
      </c>
      <c r="P55" s="87" t="b">
        <v>0</v>
      </c>
      <c r="Q55" s="87" t="b">
        <v>0</v>
      </c>
      <c r="R55" s="87"/>
    </row>
    <row r="56" spans="1:18" x14ac:dyDescent="0.25">
      <c r="A56" s="213"/>
      <c r="B56" s="213" t="s">
        <v>1029</v>
      </c>
      <c r="C56" s="213"/>
      <c r="D56" s="213"/>
      <c r="E56" s="213"/>
      <c r="F56" s="213"/>
      <c r="G56" s="213"/>
      <c r="H56" s="213" t="s">
        <v>1029</v>
      </c>
      <c r="I56" s="213"/>
      <c r="J56" s="213"/>
      <c r="K56" s="213"/>
      <c r="L56" s="213"/>
      <c r="M56" s="213"/>
      <c r="N56" s="213"/>
      <c r="O56" s="87"/>
      <c r="P56" s="87"/>
      <c r="Q56" s="87"/>
      <c r="R56" s="87"/>
    </row>
    <row r="57" spans="1:18" ht="18" customHeight="1" x14ac:dyDescent="0.25">
      <c r="A57" s="213"/>
      <c r="B57" s="1523" t="s">
        <v>1580</v>
      </c>
      <c r="C57" s="1523"/>
      <c r="D57" s="1523"/>
      <c r="E57" s="1523"/>
      <c r="F57" s="567"/>
      <c r="G57" s="213"/>
      <c r="H57" s="1523" t="s">
        <v>1583</v>
      </c>
      <c r="I57" s="1523"/>
      <c r="J57" s="1523"/>
      <c r="K57" s="1523"/>
      <c r="L57" s="1522"/>
      <c r="M57" s="1522"/>
      <c r="N57" s="213"/>
      <c r="O57" s="87" t="b">
        <v>0</v>
      </c>
      <c r="P57" s="87"/>
      <c r="Q57" s="87" t="b">
        <v>0</v>
      </c>
      <c r="R57" s="87"/>
    </row>
    <row r="58" spans="1:18" ht="18" customHeight="1" x14ac:dyDescent="0.25">
      <c r="A58" s="213"/>
      <c r="B58" s="1523" t="s">
        <v>1581</v>
      </c>
      <c r="C58" s="1523"/>
      <c r="D58" s="1523"/>
      <c r="E58" s="1523"/>
      <c r="F58" s="567"/>
      <c r="G58" s="213"/>
      <c r="H58" s="1523" t="s">
        <v>1584</v>
      </c>
      <c r="I58" s="1523"/>
      <c r="J58" s="1523"/>
      <c r="K58" s="1523"/>
      <c r="L58" s="1522"/>
      <c r="M58" s="1522"/>
      <c r="N58" s="213"/>
      <c r="O58" s="87" t="b">
        <v>0</v>
      </c>
      <c r="P58" s="87"/>
      <c r="Q58" s="87" t="b">
        <v>0</v>
      </c>
      <c r="R58" s="87"/>
    </row>
    <row r="59" spans="1:18" ht="18" customHeight="1" x14ac:dyDescent="0.25">
      <c r="A59" s="213"/>
      <c r="B59" s="213"/>
      <c r="C59" s="213"/>
      <c r="D59" s="213"/>
      <c r="E59" s="213"/>
      <c r="F59" s="213"/>
      <c r="G59" s="213"/>
      <c r="H59" s="1523" t="s">
        <v>1585</v>
      </c>
      <c r="I59" s="1523"/>
      <c r="J59" s="1523"/>
      <c r="K59" s="1523"/>
      <c r="L59" s="1522"/>
      <c r="M59" s="1522"/>
      <c r="N59" s="213"/>
      <c r="O59" s="87"/>
      <c r="P59" s="87"/>
      <c r="Q59" s="87" t="b">
        <v>0</v>
      </c>
      <c r="R59" s="87"/>
    </row>
    <row r="60" spans="1:18" ht="12" customHeight="1" x14ac:dyDescent="0.25">
      <c r="A60" s="213"/>
      <c r="B60" s="213"/>
      <c r="C60" s="213"/>
      <c r="D60" s="213"/>
      <c r="E60" s="213"/>
      <c r="F60" s="213"/>
      <c r="G60" s="213"/>
      <c r="H60" s="213"/>
      <c r="I60" s="213"/>
      <c r="J60" s="213"/>
      <c r="K60" s="213"/>
      <c r="L60" s="213"/>
      <c r="M60" s="213"/>
      <c r="N60" s="213"/>
    </row>
    <row r="61" spans="1:18" ht="18" customHeight="1" x14ac:dyDescent="0.25">
      <c r="A61" s="213"/>
      <c r="B61" s="1494" t="s">
        <v>1032</v>
      </c>
      <c r="C61" s="1494"/>
      <c r="D61" s="1494"/>
      <c r="E61" s="250" t="str">
        <f>IF(O55=TRUE,IF(AND(O57=TRUE,O58=TRUE),"Yes",IF(AND(Q55=TRUE,Q57=TRUE,Q58=TRUE,Q59=TRUE),"Yes","No")),IF(Q55=TRUE,IF(AND(Q57=TRUE,Q58=TRUE,Q59=TRUE),"Yes","No"),"No"))</f>
        <v>No</v>
      </c>
      <c r="F61" s="213"/>
      <c r="G61" s="213"/>
      <c r="H61" s="213"/>
      <c r="I61" s="213"/>
      <c r="J61" s="213"/>
      <c r="K61" s="213"/>
      <c r="L61" s="213"/>
      <c r="M61" s="213"/>
      <c r="N61" s="213"/>
    </row>
    <row r="62" spans="1:18" x14ac:dyDescent="0.25">
      <c r="A62" s="213"/>
      <c r="B62" s="213"/>
      <c r="C62" s="213"/>
      <c r="D62" s="213"/>
      <c r="E62" s="213"/>
      <c r="F62" s="213"/>
      <c r="G62" s="213"/>
      <c r="H62" s="213"/>
      <c r="I62" s="213"/>
      <c r="J62" s="213"/>
      <c r="K62" s="213"/>
      <c r="L62" s="213"/>
      <c r="M62" s="213"/>
      <c r="N62" s="213"/>
    </row>
    <row r="63" spans="1:18" ht="18" customHeight="1" x14ac:dyDescent="0.25">
      <c r="A63" s="213"/>
      <c r="B63" s="704" t="s">
        <v>1295</v>
      </c>
      <c r="C63" s="213"/>
      <c r="D63" s="213"/>
      <c r="E63" s="213"/>
      <c r="F63" s="213"/>
      <c r="G63" s="213"/>
      <c r="H63" s="213"/>
      <c r="I63" s="213"/>
      <c r="J63" s="213"/>
      <c r="K63" s="213"/>
      <c r="L63" s="213"/>
      <c r="M63" s="213"/>
      <c r="N63" s="213"/>
    </row>
    <row r="64" spans="1:18" x14ac:dyDescent="0.25">
      <c r="A64" s="213"/>
      <c r="B64" s="213"/>
      <c r="C64" s="213"/>
      <c r="D64" s="213"/>
      <c r="E64" s="213"/>
      <c r="F64" s="213"/>
      <c r="G64" s="213"/>
      <c r="H64" s="213"/>
      <c r="I64" s="213"/>
      <c r="J64" s="213"/>
      <c r="K64" s="213"/>
      <c r="L64" s="213"/>
      <c r="M64" s="213"/>
      <c r="N64" s="213"/>
    </row>
    <row r="65" spans="1:17" ht="27" customHeight="1" x14ac:dyDescent="0.25">
      <c r="A65" s="213"/>
      <c r="B65" s="1598" t="s">
        <v>2193</v>
      </c>
      <c r="C65" s="1599"/>
      <c r="D65" s="1599"/>
      <c r="E65" s="1599"/>
      <c r="F65" s="1599"/>
      <c r="G65" s="1599"/>
      <c r="H65" s="1599"/>
      <c r="I65" s="1599"/>
      <c r="J65" s="1599"/>
      <c r="K65" s="1599"/>
      <c r="L65" s="1599"/>
      <c r="M65" s="213"/>
      <c r="N65" s="213"/>
    </row>
    <row r="66" spans="1:17" x14ac:dyDescent="0.25">
      <c r="A66" s="213"/>
      <c r="B66" s="213"/>
      <c r="C66" s="213"/>
      <c r="D66" s="213"/>
      <c r="E66" s="213"/>
      <c r="F66" s="213"/>
      <c r="G66" s="213"/>
      <c r="H66" s="213"/>
      <c r="I66" s="213"/>
      <c r="J66" s="213"/>
      <c r="K66" s="213"/>
      <c r="L66" s="213"/>
      <c r="M66" s="213"/>
      <c r="N66" s="213"/>
    </row>
    <row r="67" spans="1:17" ht="15" customHeight="1" x14ac:dyDescent="0.25">
      <c r="A67" s="213"/>
      <c r="B67" s="1532" t="s">
        <v>1294</v>
      </c>
      <c r="C67" s="1532"/>
      <c r="D67" s="1532"/>
      <c r="E67" s="1532"/>
      <c r="F67" s="1532"/>
      <c r="G67" s="213"/>
      <c r="H67" s="213"/>
      <c r="I67" s="213"/>
      <c r="J67" s="213"/>
      <c r="K67" s="213"/>
      <c r="L67" s="213"/>
      <c r="M67" s="213"/>
      <c r="N67" s="213"/>
    </row>
    <row r="68" spans="1:17" ht="9" customHeight="1" x14ac:dyDescent="0.25">
      <c r="A68" s="213"/>
      <c r="B68" s="675"/>
      <c r="C68" s="675"/>
      <c r="D68" s="675"/>
      <c r="E68" s="675"/>
      <c r="F68" s="675"/>
      <c r="G68" s="213"/>
      <c r="H68" s="213"/>
      <c r="I68" s="213"/>
      <c r="J68" s="213"/>
      <c r="K68" s="213"/>
      <c r="L68" s="213"/>
      <c r="M68" s="213"/>
      <c r="N68" s="213"/>
    </row>
    <row r="69" spans="1:17" ht="18" customHeight="1" x14ac:dyDescent="0.25">
      <c r="A69" s="213"/>
      <c r="B69" s="1524" t="s">
        <v>1586</v>
      </c>
      <c r="C69" s="1524"/>
      <c r="D69" s="1524"/>
      <c r="E69" s="1524"/>
      <c r="F69" s="530"/>
      <c r="G69" s="213"/>
      <c r="H69" s="213"/>
      <c r="I69" s="213"/>
      <c r="J69" s="213"/>
      <c r="K69" s="213"/>
      <c r="L69" s="213"/>
      <c r="M69" s="213"/>
      <c r="N69" s="213"/>
      <c r="O69" s="87" t="b">
        <v>0</v>
      </c>
      <c r="P69" s="87" t="b">
        <v>0</v>
      </c>
    </row>
    <row r="70" spans="1:17" ht="18" customHeight="1" x14ac:dyDescent="0.25">
      <c r="A70" s="213"/>
      <c r="B70" s="1524" t="s">
        <v>1587</v>
      </c>
      <c r="C70" s="1524"/>
      <c r="D70" s="1524"/>
      <c r="E70" s="1524"/>
      <c r="F70" s="530"/>
      <c r="G70" s="213"/>
      <c r="H70" s="213"/>
      <c r="I70" s="213"/>
      <c r="J70" s="213"/>
      <c r="K70" s="213"/>
      <c r="L70" s="213"/>
      <c r="M70" s="213"/>
      <c r="N70" s="213"/>
      <c r="O70" s="87" t="b">
        <v>0</v>
      </c>
      <c r="P70" s="87" t="b">
        <v>0</v>
      </c>
      <c r="Q70" t="str">
        <f>IF(AND(O69=FALSE,O70=FALSE,P69=FALSE,P70=FALSE),"",MIN(IF(AND(O69=TRUE,O70=TRUE),"0",IF(AND(O69=TRUE,P70=TRUE),3,IF(AND(P69=TRUE,O70=TRUE),"0",IF(AND(P69=TRUE,P70=TRUE),6,0))))))</f>
        <v/>
      </c>
    </row>
    <row r="71" spans="1:17" ht="16.5" customHeight="1" x14ac:dyDescent="0.25">
      <c r="A71" s="213"/>
      <c r="B71" s="254"/>
      <c r="C71" s="213"/>
      <c r="D71" s="213"/>
      <c r="E71" s="213"/>
      <c r="F71" s="213"/>
      <c r="G71" s="213"/>
      <c r="H71" s="213"/>
      <c r="I71" s="213"/>
      <c r="J71" s="213"/>
      <c r="K71" s="213"/>
      <c r="L71" s="213"/>
      <c r="M71" s="213"/>
      <c r="N71" s="213"/>
    </row>
    <row r="72" spans="1:17" ht="15.75" customHeight="1" x14ac:dyDescent="0.25">
      <c r="A72" s="213"/>
      <c r="B72" s="691" t="s">
        <v>1885</v>
      </c>
      <c r="C72" s="213"/>
      <c r="D72" s="213"/>
      <c r="E72" s="213"/>
      <c r="F72" s="213"/>
      <c r="G72" s="213"/>
      <c r="H72" s="213"/>
      <c r="I72" s="213"/>
      <c r="J72" s="213"/>
      <c r="K72" s="213"/>
      <c r="L72" s="213"/>
      <c r="M72" s="213"/>
      <c r="N72" s="213"/>
    </row>
    <row r="73" spans="1:17" ht="17.25" customHeight="1" x14ac:dyDescent="0.25">
      <c r="A73" s="213"/>
      <c r="B73" s="255"/>
      <c r="C73" s="213"/>
      <c r="D73" s="213"/>
      <c r="E73" s="213"/>
      <c r="F73" s="213"/>
      <c r="G73" s="213"/>
      <c r="H73" s="213"/>
      <c r="I73" s="213"/>
      <c r="J73" s="213"/>
      <c r="K73" s="213"/>
      <c r="L73" s="213"/>
      <c r="M73" s="213"/>
      <c r="N73" s="213"/>
    </row>
    <row r="74" spans="1:17" ht="16.5" customHeight="1" x14ac:dyDescent="0.25">
      <c r="A74" s="213"/>
      <c r="B74" s="692" t="s">
        <v>1296</v>
      </c>
      <c r="C74" s="213"/>
      <c r="D74" s="213"/>
      <c r="E74" s="213"/>
      <c r="F74" s="213"/>
      <c r="G74" s="213"/>
      <c r="H74" s="213"/>
      <c r="I74" s="213"/>
      <c r="J74" s="213"/>
      <c r="K74" s="213"/>
      <c r="L74" s="213"/>
      <c r="M74" s="213"/>
      <c r="N74" s="213"/>
    </row>
    <row r="75" spans="1:17" ht="9" customHeight="1" x14ac:dyDescent="0.25">
      <c r="A75" s="213"/>
      <c r="B75" s="256"/>
      <c r="C75" s="213"/>
      <c r="D75" s="213"/>
      <c r="E75" s="213"/>
      <c r="F75" s="213"/>
      <c r="G75" s="213"/>
      <c r="H75" s="213"/>
      <c r="I75" s="213"/>
      <c r="J75" s="213"/>
      <c r="K75" s="213"/>
      <c r="L75" s="213"/>
      <c r="M75" s="213"/>
      <c r="N75" s="213"/>
    </row>
    <row r="76" spans="1:17" ht="27" customHeight="1" x14ac:dyDescent="0.25">
      <c r="A76" s="213"/>
      <c r="B76" s="875" t="s">
        <v>545</v>
      </c>
      <c r="C76" s="876" t="s">
        <v>43</v>
      </c>
      <c r="D76" s="876" t="s">
        <v>546</v>
      </c>
      <c r="E76" s="876" t="s">
        <v>547</v>
      </c>
      <c r="F76" s="877" t="s">
        <v>182</v>
      </c>
      <c r="G76" s="213"/>
      <c r="H76" s="213"/>
      <c r="I76" s="213"/>
      <c r="J76" s="213"/>
      <c r="K76" s="213"/>
      <c r="L76" s="213"/>
      <c r="M76" s="213"/>
      <c r="N76" s="213"/>
    </row>
    <row r="77" spans="1:17" ht="15" customHeight="1" x14ac:dyDescent="0.25">
      <c r="A77" s="213"/>
      <c r="B77" s="531"/>
      <c r="C77" s="531"/>
      <c r="D77" s="532"/>
      <c r="E77" s="502" t="str">
        <f t="shared" ref="E77:E83" si="0">IFERROR(D77/C77*20,"")</f>
        <v/>
      </c>
      <c r="F77" s="299" t="str">
        <f t="shared" ref="F77:F83" si="1">IF(E77="","",IF(E77&gt;=1,"Yes","No"))</f>
        <v/>
      </c>
      <c r="G77" s="213"/>
      <c r="H77" s="213"/>
      <c r="I77" s="213"/>
      <c r="J77" s="213"/>
      <c r="K77" s="213"/>
      <c r="L77" s="213"/>
      <c r="M77" s="213"/>
      <c r="N77" s="213"/>
    </row>
    <row r="78" spans="1:17" ht="15" customHeight="1" x14ac:dyDescent="0.25">
      <c r="A78" s="213"/>
      <c r="B78" s="531"/>
      <c r="C78" s="531"/>
      <c r="D78" s="532"/>
      <c r="E78" s="502" t="str">
        <f t="shared" si="0"/>
        <v/>
      </c>
      <c r="F78" s="299" t="str">
        <f t="shared" si="1"/>
        <v/>
      </c>
      <c r="G78" s="213"/>
      <c r="H78" s="213"/>
      <c r="I78" s="213"/>
      <c r="J78" s="213"/>
      <c r="K78" s="213"/>
      <c r="L78" s="213"/>
      <c r="M78" s="213"/>
      <c r="N78" s="213"/>
    </row>
    <row r="79" spans="1:17" ht="15" customHeight="1" x14ac:dyDescent="0.25">
      <c r="A79" s="213"/>
      <c r="B79" s="531"/>
      <c r="C79" s="531"/>
      <c r="D79" s="532"/>
      <c r="E79" s="502" t="str">
        <f t="shared" si="0"/>
        <v/>
      </c>
      <c r="F79" s="299" t="str">
        <f t="shared" si="1"/>
        <v/>
      </c>
      <c r="G79" s="213"/>
      <c r="H79" s="213"/>
      <c r="I79" s="213"/>
      <c r="J79" s="213"/>
      <c r="K79" s="213"/>
      <c r="L79" s="213"/>
      <c r="M79" s="213"/>
      <c r="N79" s="213"/>
    </row>
    <row r="80" spans="1:17" ht="15" customHeight="1" x14ac:dyDescent="0.25">
      <c r="A80" s="213"/>
      <c r="B80" s="977"/>
      <c r="C80" s="977"/>
      <c r="D80" s="979"/>
      <c r="E80" s="502" t="str">
        <f t="shared" ref="E80" si="2">IFERROR(D80/C80*20,"")</f>
        <v/>
      </c>
      <c r="F80" s="299" t="str">
        <f t="shared" ref="F80" si="3">IF(E80="","",IF(E80&gt;=1,"Yes","No"))</f>
        <v/>
      </c>
      <c r="G80" s="213"/>
      <c r="H80" s="213"/>
      <c r="I80" s="213"/>
      <c r="J80" s="213"/>
      <c r="K80" s="213"/>
      <c r="L80" s="213"/>
      <c r="M80" s="213"/>
      <c r="N80" s="213"/>
    </row>
    <row r="81" spans="1:18" ht="15" customHeight="1" x14ac:dyDescent="0.25">
      <c r="A81" s="213"/>
      <c r="B81" s="531"/>
      <c r="C81" s="531"/>
      <c r="D81" s="532"/>
      <c r="E81" s="502" t="str">
        <f t="shared" si="0"/>
        <v/>
      </c>
      <c r="F81" s="299" t="str">
        <f t="shared" si="1"/>
        <v/>
      </c>
      <c r="G81" s="213"/>
      <c r="H81" s="213"/>
      <c r="I81" s="213"/>
      <c r="J81" s="213"/>
      <c r="K81" s="213"/>
      <c r="L81" s="213"/>
      <c r="M81" s="213"/>
      <c r="N81" s="213"/>
    </row>
    <row r="82" spans="1:18" ht="15" customHeight="1" x14ac:dyDescent="0.25">
      <c r="A82" s="213"/>
      <c r="B82" s="531"/>
      <c r="C82" s="531"/>
      <c r="D82" s="532"/>
      <c r="E82" s="502" t="str">
        <f t="shared" si="0"/>
        <v/>
      </c>
      <c r="F82" s="299" t="str">
        <f t="shared" si="1"/>
        <v/>
      </c>
      <c r="G82" s="213"/>
      <c r="H82" s="213"/>
      <c r="I82" s="213"/>
      <c r="J82" s="213"/>
      <c r="K82" s="213"/>
      <c r="L82" s="213"/>
      <c r="M82" s="213"/>
      <c r="N82" s="213"/>
    </row>
    <row r="83" spans="1:18" ht="15" customHeight="1" x14ac:dyDescent="0.25">
      <c r="A83" s="213"/>
      <c r="B83" s="531"/>
      <c r="C83" s="531"/>
      <c r="D83" s="532"/>
      <c r="E83" s="502" t="str">
        <f t="shared" si="0"/>
        <v/>
      </c>
      <c r="F83" s="299" t="str">
        <f t="shared" si="1"/>
        <v/>
      </c>
      <c r="G83" s="213"/>
      <c r="H83" s="213"/>
      <c r="I83" s="213"/>
      <c r="J83" s="213"/>
      <c r="K83" s="213"/>
      <c r="L83" s="213"/>
      <c r="M83" s="213"/>
      <c r="N83" s="213"/>
    </row>
    <row r="84" spans="1:18" ht="16.5" customHeight="1" x14ac:dyDescent="0.25">
      <c r="A84" s="213"/>
      <c r="B84" s="213"/>
      <c r="C84" s="213"/>
      <c r="D84" s="213"/>
      <c r="E84" s="213"/>
      <c r="F84" s="503" t="str">
        <f>IF(COUNTIF(F77:F83,"No")&gt;0,"No",IF(COUNTIF(F77:F83,"Yes")&gt;0,"Yes",""))</f>
        <v/>
      </c>
      <c r="G84" s="213"/>
      <c r="H84" s="213"/>
      <c r="I84" s="213"/>
      <c r="J84" s="213"/>
      <c r="K84" s="213"/>
      <c r="L84" s="213"/>
      <c r="M84" s="213"/>
      <c r="N84" s="213"/>
    </row>
    <row r="85" spans="1:18" ht="15" customHeight="1" x14ac:dyDescent="0.25">
      <c r="A85" s="213"/>
      <c r="B85" s="213"/>
      <c r="C85" s="213"/>
      <c r="D85" s="213"/>
      <c r="E85" s="213"/>
      <c r="F85" s="213"/>
      <c r="G85" s="213"/>
      <c r="H85" s="213"/>
      <c r="I85" s="213"/>
      <c r="J85" s="213"/>
      <c r="K85" s="213"/>
      <c r="L85" s="213"/>
      <c r="M85" s="213"/>
      <c r="N85" s="213"/>
    </row>
    <row r="86" spans="1:18" s="42" customFormat="1" ht="16.5" customHeight="1" x14ac:dyDescent="0.25">
      <c r="A86" s="1410" t="s">
        <v>200</v>
      </c>
      <c r="B86" s="1410"/>
      <c r="C86" s="1410"/>
      <c r="D86" s="213"/>
      <c r="E86" s="213"/>
      <c r="F86" s="213"/>
      <c r="G86" s="213"/>
      <c r="H86" s="213"/>
      <c r="I86" s="213"/>
      <c r="J86" s="213"/>
      <c r="K86" s="213"/>
      <c r="L86" s="213"/>
      <c r="M86" s="213"/>
      <c r="N86" s="213"/>
    </row>
    <row r="87" spans="1:18" s="42" customFormat="1" ht="12.75" customHeight="1" x14ac:dyDescent="0.25">
      <c r="A87" s="213"/>
      <c r="B87" s="213"/>
      <c r="C87" s="213"/>
      <c r="D87" s="213"/>
      <c r="E87" s="213"/>
      <c r="F87" s="213"/>
      <c r="G87" s="213"/>
      <c r="H87" s="213"/>
      <c r="I87" s="213"/>
      <c r="J87" s="213"/>
      <c r="K87" s="213"/>
      <c r="L87" s="213"/>
      <c r="M87" s="213"/>
      <c r="N87" s="213"/>
    </row>
    <row r="88" spans="1:18" s="42" customFormat="1" ht="18" customHeight="1" x14ac:dyDescent="0.25">
      <c r="A88" s="213"/>
      <c r="B88" s="1446" t="s">
        <v>2194</v>
      </c>
      <c r="C88" s="1447"/>
      <c r="D88" s="1447"/>
      <c r="E88" s="1447"/>
      <c r="F88" s="1447"/>
      <c r="G88" s="1045" t="s">
        <v>2101</v>
      </c>
      <c r="H88" s="1443" t="s">
        <v>2102</v>
      </c>
      <c r="I88" s="1444"/>
      <c r="J88" s="213"/>
      <c r="K88" s="213"/>
      <c r="L88" s="213"/>
      <c r="M88" s="213"/>
      <c r="N88" s="213"/>
    </row>
    <row r="89" spans="1:18" s="42" customFormat="1" ht="18" customHeight="1" x14ac:dyDescent="0.25">
      <c r="A89" s="213"/>
      <c r="B89" s="1436" t="s">
        <v>1297</v>
      </c>
      <c r="C89" s="1437"/>
      <c r="D89" s="1437"/>
      <c r="E89" s="1437"/>
      <c r="F89" s="1438"/>
      <c r="G89" s="565" t="s">
        <v>129</v>
      </c>
      <c r="H89" s="1441"/>
      <c r="I89" s="1442"/>
      <c r="J89" s="213"/>
      <c r="K89" s="213"/>
      <c r="L89" s="213"/>
      <c r="M89" s="213"/>
      <c r="N89" s="213"/>
    </row>
    <row r="90" spans="1:18" s="42" customFormat="1" ht="18" customHeight="1" x14ac:dyDescent="0.25">
      <c r="A90" s="213"/>
      <c r="B90" s="1436" t="s">
        <v>1298</v>
      </c>
      <c r="C90" s="1437"/>
      <c r="D90" s="1437"/>
      <c r="E90" s="1437"/>
      <c r="F90" s="1438"/>
      <c r="G90" s="565" t="s">
        <v>129</v>
      </c>
      <c r="H90" s="1441"/>
      <c r="I90" s="1442"/>
      <c r="J90" s="213"/>
      <c r="K90" s="213"/>
      <c r="L90" s="213"/>
      <c r="M90" s="213"/>
      <c r="N90" s="213"/>
    </row>
    <row r="91" spans="1:18" s="42" customFormat="1" ht="21" customHeight="1" x14ac:dyDescent="0.25">
      <c r="A91" s="213"/>
      <c r="B91" s="1163" t="s">
        <v>1295</v>
      </c>
      <c r="C91" s="213"/>
      <c r="D91" s="213"/>
      <c r="E91" s="213"/>
      <c r="F91" s="213"/>
      <c r="G91" s="213"/>
      <c r="H91" s="213"/>
      <c r="I91" s="213"/>
      <c r="J91" s="213"/>
      <c r="K91" s="213"/>
      <c r="L91" s="213"/>
      <c r="M91" s="213"/>
      <c r="N91" s="213"/>
    </row>
    <row r="92" spans="1:18" s="42" customFormat="1" ht="18" customHeight="1" x14ac:dyDescent="0.25">
      <c r="A92" s="213"/>
      <c r="B92" s="1446" t="s">
        <v>2195</v>
      </c>
      <c r="C92" s="1447"/>
      <c r="D92" s="1447"/>
      <c r="E92" s="1447"/>
      <c r="F92" s="1447"/>
      <c r="G92" s="1141" t="s">
        <v>2101</v>
      </c>
      <c r="H92" s="1443" t="s">
        <v>2102</v>
      </c>
      <c r="I92" s="1444"/>
      <c r="J92" s="213"/>
      <c r="K92" s="213"/>
      <c r="L92" s="213"/>
      <c r="M92" s="213"/>
      <c r="N92" s="213"/>
    </row>
    <row r="93" spans="1:18" s="42" customFormat="1" ht="18" customHeight="1" x14ac:dyDescent="0.25">
      <c r="A93" s="213"/>
      <c r="B93" s="1436" t="s">
        <v>1299</v>
      </c>
      <c r="C93" s="1437"/>
      <c r="D93" s="1437"/>
      <c r="E93" s="1437"/>
      <c r="F93" s="1438"/>
      <c r="G93" s="518" t="s">
        <v>129</v>
      </c>
      <c r="H93" s="1441"/>
      <c r="I93" s="1442"/>
      <c r="J93" s="213"/>
      <c r="K93" s="213"/>
      <c r="L93" s="213"/>
      <c r="M93" s="213"/>
      <c r="N93" s="213"/>
    </row>
    <row r="94" spans="1:18" s="42" customFormat="1" ht="27.75" customHeight="1" x14ac:dyDescent="0.25">
      <c r="A94" s="213"/>
      <c r="B94" s="1436" t="s">
        <v>1300</v>
      </c>
      <c r="C94" s="1437"/>
      <c r="D94" s="1437"/>
      <c r="E94" s="1437"/>
      <c r="F94" s="1438"/>
      <c r="G94" s="518" t="s">
        <v>129</v>
      </c>
      <c r="H94" s="1441"/>
      <c r="I94" s="1442"/>
      <c r="J94" s="213"/>
      <c r="K94" s="213"/>
      <c r="L94" s="213"/>
      <c r="M94" s="213"/>
      <c r="N94" s="213"/>
    </row>
    <row r="95" spans="1:18" s="42" customFormat="1" ht="18" customHeight="1" x14ac:dyDescent="0.25">
      <c r="A95" s="213"/>
      <c r="B95" s="213"/>
      <c r="C95" s="213"/>
      <c r="D95" s="213"/>
      <c r="E95" s="213"/>
      <c r="F95" s="213"/>
      <c r="G95" s="213"/>
      <c r="H95" s="213"/>
      <c r="I95" s="213"/>
      <c r="J95" s="213"/>
      <c r="K95" s="213"/>
      <c r="L95" s="213"/>
      <c r="M95" s="213"/>
      <c r="N95" s="213"/>
    </row>
    <row r="96" spans="1:18" ht="16.5" customHeight="1" x14ac:dyDescent="0.25">
      <c r="A96" s="1410" t="s">
        <v>25</v>
      </c>
      <c r="B96" s="1410"/>
      <c r="C96" s="1410"/>
      <c r="D96" s="213"/>
      <c r="E96" s="213"/>
      <c r="F96" s="213"/>
      <c r="G96" s="213"/>
      <c r="H96" s="213"/>
      <c r="I96" s="213"/>
      <c r="J96" s="213"/>
      <c r="K96" s="213"/>
      <c r="L96" s="213"/>
      <c r="M96" s="213"/>
      <c r="N96" s="213"/>
      <c r="O96" s="42"/>
      <c r="P96" s="42"/>
      <c r="Q96" s="42"/>
      <c r="R96" s="42"/>
    </row>
    <row r="97" spans="1:18" ht="14.25" customHeight="1" x14ac:dyDescent="0.25">
      <c r="A97" s="213"/>
      <c r="B97" s="213"/>
      <c r="C97" s="213"/>
      <c r="D97" s="213"/>
      <c r="E97" s="213"/>
      <c r="F97" s="213"/>
      <c r="G97" s="213"/>
      <c r="H97" s="213"/>
      <c r="I97" s="213"/>
      <c r="J97" s="213"/>
      <c r="K97" s="213"/>
      <c r="L97" s="213"/>
      <c r="M97" s="213"/>
      <c r="N97" s="213"/>
      <c r="O97" s="42"/>
      <c r="P97" s="42"/>
      <c r="Q97" s="42"/>
      <c r="R97" s="42"/>
    </row>
    <row r="98" spans="1:18" ht="18" customHeight="1" x14ac:dyDescent="0.25">
      <c r="A98" s="213"/>
      <c r="B98" s="192" t="s">
        <v>56</v>
      </c>
      <c r="C98" s="1190" t="str">
        <f>IF(D40="Prescriptive Path",IFERROR(IF(F84="Yes",Q70,0)+IF(E61="Yes",1,0),0),"")</f>
        <v/>
      </c>
      <c r="D98" s="213"/>
      <c r="E98" s="213"/>
      <c r="F98" s="213"/>
      <c r="G98" s="213"/>
      <c r="H98" s="213"/>
      <c r="I98" s="213"/>
      <c r="J98" s="213"/>
      <c r="K98" s="213"/>
      <c r="L98" s="213"/>
      <c r="M98" s="213"/>
      <c r="N98" s="213"/>
      <c r="O98" s="42"/>
      <c r="P98" s="42"/>
      <c r="Q98" s="42"/>
      <c r="R98" s="42"/>
    </row>
    <row r="99" spans="1:18" ht="18" customHeight="1" x14ac:dyDescent="0.25">
      <c r="A99" s="213"/>
      <c r="B99" s="192" t="s">
        <v>521</v>
      </c>
      <c r="C99" s="1190" t="str">
        <f>IF(D40="Prescriptive Path",IF(E61="Yes",IF(COUNTIF(G89:G90,"Submitted")&lt;2,"No",IF(C98&gt;1,IF(COUNTIF(G93:G94,"Submitted")&lt;2,"No","Yes"),"Yes")),IF(C98&gt;=1,IF(COUNTIF(G93:G94,"Submitted")&lt;2,"No","Yes"),"No")),"")</f>
        <v/>
      </c>
      <c r="D99" s="213"/>
      <c r="E99" s="213"/>
      <c r="F99" s="213"/>
      <c r="G99" s="213"/>
      <c r="H99" s="213"/>
      <c r="I99" s="213"/>
      <c r="J99" s="213"/>
      <c r="K99" s="213"/>
      <c r="L99" s="213"/>
      <c r="M99" s="213"/>
      <c r="N99" s="213"/>
      <c r="O99" s="42"/>
      <c r="P99" s="42"/>
      <c r="Q99" s="42"/>
      <c r="R99" s="42"/>
    </row>
    <row r="100" spans="1:18" ht="20.25" customHeight="1" x14ac:dyDescent="0.25">
      <c r="A100" s="213"/>
      <c r="B100" s="213"/>
      <c r="C100" s="213"/>
      <c r="D100" s="213"/>
      <c r="E100" s="213"/>
      <c r="F100" s="213"/>
      <c r="G100" s="213"/>
      <c r="H100" s="213"/>
      <c r="I100" s="213"/>
      <c r="J100" s="213"/>
      <c r="K100" s="213"/>
      <c r="L100" s="213"/>
      <c r="M100" s="213"/>
      <c r="N100" s="213"/>
      <c r="O100" s="42"/>
      <c r="P100" s="42"/>
      <c r="Q100" s="42"/>
      <c r="R100" s="42"/>
    </row>
    <row r="101" spans="1:18" ht="17.25" customHeight="1" x14ac:dyDescent="0.25">
      <c r="A101" s="1432" t="s">
        <v>549</v>
      </c>
      <c r="B101" s="1432"/>
      <c r="C101" s="1432"/>
      <c r="D101" s="1432"/>
      <c r="E101" s="1432"/>
      <c r="F101" s="1432"/>
      <c r="G101" s="1432"/>
      <c r="H101" s="1432"/>
      <c r="I101" s="1432"/>
      <c r="J101" s="1432"/>
      <c r="K101" s="1432"/>
      <c r="L101" s="1432"/>
      <c r="M101" s="1432"/>
      <c r="N101" s="1432"/>
    </row>
    <row r="102" spans="1:18" x14ac:dyDescent="0.25">
      <c r="A102" s="429"/>
      <c r="B102" s="227"/>
      <c r="C102" s="227"/>
      <c r="D102" s="227"/>
      <c r="E102" s="227"/>
      <c r="F102" s="227"/>
      <c r="G102" s="227"/>
      <c r="H102" s="227"/>
      <c r="I102" s="227"/>
      <c r="J102" s="227"/>
      <c r="K102" s="227"/>
      <c r="L102" s="227"/>
      <c r="M102" s="227"/>
      <c r="N102" s="227"/>
    </row>
    <row r="103" spans="1:18" ht="16.5" customHeight="1" x14ac:dyDescent="0.25">
      <c r="A103" s="1410" t="s">
        <v>265</v>
      </c>
      <c r="B103" s="1410"/>
      <c r="C103" s="1410"/>
      <c r="D103" s="227"/>
      <c r="E103" s="227"/>
      <c r="F103" s="227"/>
      <c r="G103" s="227"/>
      <c r="H103" s="227"/>
      <c r="I103" s="227"/>
      <c r="J103" s="227"/>
      <c r="K103" s="227"/>
      <c r="L103" s="227"/>
      <c r="M103" s="227"/>
      <c r="N103" s="227"/>
    </row>
    <row r="104" spans="1:18" x14ac:dyDescent="0.25">
      <c r="A104" s="429"/>
      <c r="B104" s="227"/>
      <c r="C104" s="227"/>
      <c r="D104" s="227"/>
      <c r="E104" s="227"/>
      <c r="F104" s="227"/>
      <c r="G104" s="227"/>
      <c r="H104" s="227"/>
      <c r="I104" s="227"/>
      <c r="J104" s="227"/>
      <c r="K104" s="227"/>
      <c r="L104" s="227"/>
      <c r="M104" s="227"/>
      <c r="N104" s="227"/>
    </row>
    <row r="105" spans="1:18" ht="27" customHeight="1" x14ac:dyDescent="0.25">
      <c r="A105" s="214"/>
      <c r="B105" s="1591" t="s">
        <v>2191</v>
      </c>
      <c r="C105" s="1591"/>
      <c r="D105" s="1591"/>
      <c r="E105" s="1591"/>
      <c r="F105" s="1591"/>
      <c r="G105" s="1591"/>
      <c r="H105" s="1591"/>
      <c r="I105" s="1591"/>
      <c r="J105" s="1591"/>
      <c r="K105" s="1591"/>
      <c r="L105" s="1591"/>
      <c r="M105" s="214"/>
      <c r="N105" s="214"/>
    </row>
    <row r="106" spans="1:18" x14ac:dyDescent="0.25">
      <c r="A106" s="214"/>
      <c r="B106" s="585"/>
      <c r="C106" s="214"/>
      <c r="D106" s="214"/>
      <c r="E106" s="214"/>
      <c r="F106" s="214"/>
      <c r="G106" s="214"/>
      <c r="H106" s="214"/>
      <c r="I106" s="214"/>
      <c r="J106" s="214"/>
      <c r="K106" s="214"/>
      <c r="L106" s="214"/>
      <c r="M106" s="214"/>
      <c r="N106" s="214"/>
    </row>
    <row r="107" spans="1:18" x14ac:dyDescent="0.25">
      <c r="A107" s="214"/>
      <c r="B107" s="1582" t="s">
        <v>1028</v>
      </c>
      <c r="C107" s="1583"/>
      <c r="D107" s="1583"/>
      <c r="E107" s="1583"/>
      <c r="F107" s="1583"/>
      <c r="G107" s="1583"/>
      <c r="H107" s="1583"/>
      <c r="I107" s="1583"/>
      <c r="J107" s="1583"/>
      <c r="K107" s="1583"/>
      <c r="L107" s="1584"/>
      <c r="M107" s="214"/>
      <c r="N107" s="214"/>
    </row>
    <row r="108" spans="1:18" x14ac:dyDescent="0.25">
      <c r="A108" s="214"/>
      <c r="B108" s="1592" t="s">
        <v>1027</v>
      </c>
      <c r="C108" s="1593"/>
      <c r="D108" s="1593"/>
      <c r="E108" s="1593"/>
      <c r="F108" s="1593"/>
      <c r="G108" s="1593"/>
      <c r="H108" s="1593"/>
      <c r="I108" s="1593"/>
      <c r="J108" s="1593"/>
      <c r="K108" s="1593"/>
      <c r="L108" s="1594"/>
      <c r="M108" s="214"/>
      <c r="N108" s="214"/>
    </row>
    <row r="109" spans="1:18" ht="27" customHeight="1" x14ac:dyDescent="0.25">
      <c r="A109" s="214"/>
      <c r="B109" s="1595" t="s">
        <v>1026</v>
      </c>
      <c r="C109" s="1596"/>
      <c r="D109" s="1596"/>
      <c r="E109" s="1596"/>
      <c r="F109" s="1596"/>
      <c r="G109" s="1596"/>
      <c r="H109" s="1596"/>
      <c r="I109" s="1596"/>
      <c r="J109" s="1596"/>
      <c r="K109" s="1596"/>
      <c r="L109" s="1597"/>
      <c r="M109" s="214"/>
      <c r="N109" s="214"/>
    </row>
    <row r="110" spans="1:18" x14ac:dyDescent="0.25">
      <c r="A110" s="214"/>
      <c r="B110" s="214"/>
      <c r="C110" s="214"/>
      <c r="D110" s="214"/>
      <c r="E110" s="214"/>
      <c r="F110" s="214"/>
      <c r="G110" s="214"/>
      <c r="H110" s="214"/>
      <c r="I110" s="214"/>
      <c r="J110" s="214"/>
      <c r="K110" s="214"/>
      <c r="L110" s="214"/>
      <c r="M110" s="214"/>
      <c r="N110" s="214"/>
    </row>
    <row r="111" spans="1:18" ht="15" customHeight="1" x14ac:dyDescent="0.25">
      <c r="A111" s="214"/>
      <c r="B111" s="1525" t="s">
        <v>1294</v>
      </c>
      <c r="C111" s="1525"/>
      <c r="D111" s="1525"/>
      <c r="E111" s="1525"/>
      <c r="F111" s="1525"/>
      <c r="G111" s="214"/>
      <c r="H111" s="214"/>
      <c r="I111" s="214"/>
      <c r="J111" s="214"/>
      <c r="K111" s="214"/>
      <c r="L111" s="214"/>
      <c r="M111" s="214"/>
      <c r="N111" s="214"/>
    </row>
    <row r="112" spans="1:18" ht="9" customHeight="1" x14ac:dyDescent="0.25">
      <c r="A112" s="214"/>
      <c r="B112" s="694"/>
      <c r="C112" s="694"/>
      <c r="D112" s="694"/>
      <c r="E112" s="694"/>
      <c r="F112" s="694"/>
      <c r="G112" s="214"/>
      <c r="H112" s="214"/>
      <c r="I112" s="214"/>
      <c r="J112" s="214"/>
      <c r="K112" s="214"/>
      <c r="L112" s="214"/>
      <c r="M112" s="214"/>
      <c r="N112" s="214"/>
    </row>
    <row r="113" spans="1:18" ht="16.5" customHeight="1" x14ac:dyDescent="0.25">
      <c r="A113" s="214"/>
      <c r="B113" s="1526" t="s">
        <v>1030</v>
      </c>
      <c r="C113" s="1526"/>
      <c r="D113" s="1526"/>
      <c r="E113" s="1526"/>
      <c r="F113" s="1526"/>
      <c r="G113" s="214"/>
      <c r="H113" s="1526" t="s">
        <v>1031</v>
      </c>
      <c r="I113" s="1526"/>
      <c r="J113" s="1526"/>
      <c r="K113" s="1526"/>
      <c r="L113" s="1526"/>
      <c r="M113" s="568"/>
      <c r="N113" s="214"/>
    </row>
    <row r="114" spans="1:18" ht="18" customHeight="1" x14ac:dyDescent="0.25">
      <c r="A114" s="214"/>
      <c r="B114" s="1523" t="s">
        <v>1579</v>
      </c>
      <c r="C114" s="1523"/>
      <c r="D114" s="1523"/>
      <c r="E114" s="1523"/>
      <c r="F114" s="567"/>
      <c r="G114" s="214"/>
      <c r="H114" s="1523" t="s">
        <v>1582</v>
      </c>
      <c r="I114" s="1523"/>
      <c r="J114" s="1523"/>
      <c r="K114" s="1523"/>
      <c r="L114" s="1522"/>
      <c r="M114" s="1522"/>
      <c r="N114" s="214"/>
      <c r="O114" s="87" t="b">
        <v>0</v>
      </c>
      <c r="P114" s="87"/>
      <c r="Q114" s="87" t="b">
        <v>0</v>
      </c>
      <c r="R114" s="87"/>
    </row>
    <row r="115" spans="1:18" x14ac:dyDescent="0.25">
      <c r="A115" s="214"/>
      <c r="B115" s="214" t="s">
        <v>1029</v>
      </c>
      <c r="C115" s="214"/>
      <c r="D115" s="214"/>
      <c r="E115" s="214"/>
      <c r="F115" s="214"/>
      <c r="G115" s="214"/>
      <c r="H115" s="214" t="s">
        <v>1029</v>
      </c>
      <c r="I115" s="214"/>
      <c r="J115" s="214"/>
      <c r="K115" s="214"/>
      <c r="L115" s="214"/>
      <c r="M115" s="214"/>
      <c r="N115" s="214"/>
      <c r="O115" s="87"/>
      <c r="P115" s="87"/>
      <c r="Q115" s="87"/>
      <c r="R115" s="87"/>
    </row>
    <row r="116" spans="1:18" ht="18" customHeight="1" x14ac:dyDescent="0.25">
      <c r="A116" s="214"/>
      <c r="B116" s="1523" t="s">
        <v>1580</v>
      </c>
      <c r="C116" s="1523"/>
      <c r="D116" s="1523"/>
      <c r="E116" s="1523"/>
      <c r="F116" s="567"/>
      <c r="G116" s="214"/>
      <c r="H116" s="1523" t="s">
        <v>1583</v>
      </c>
      <c r="I116" s="1523"/>
      <c r="J116" s="1523"/>
      <c r="K116" s="1523"/>
      <c r="L116" s="1522"/>
      <c r="M116" s="1522"/>
      <c r="N116" s="214"/>
      <c r="O116" s="87" t="b">
        <v>0</v>
      </c>
      <c r="P116" s="87"/>
      <c r="Q116" s="87" t="b">
        <v>0</v>
      </c>
      <c r="R116" s="87"/>
    </row>
    <row r="117" spans="1:18" ht="18" customHeight="1" x14ac:dyDescent="0.25">
      <c r="A117" s="214"/>
      <c r="B117" s="1523" t="s">
        <v>1581</v>
      </c>
      <c r="C117" s="1523"/>
      <c r="D117" s="1523"/>
      <c r="E117" s="1523"/>
      <c r="F117" s="567"/>
      <c r="G117" s="214"/>
      <c r="H117" s="1523" t="s">
        <v>1584</v>
      </c>
      <c r="I117" s="1523"/>
      <c r="J117" s="1523"/>
      <c r="K117" s="1523"/>
      <c r="L117" s="1522"/>
      <c r="M117" s="1522"/>
      <c r="N117" s="214"/>
      <c r="O117" s="87" t="b">
        <v>0</v>
      </c>
      <c r="P117" s="87"/>
      <c r="Q117" s="87" t="b">
        <v>0</v>
      </c>
      <c r="R117" s="87"/>
    </row>
    <row r="118" spans="1:18" ht="18" customHeight="1" x14ac:dyDescent="0.25">
      <c r="A118" s="214"/>
      <c r="B118" s="214"/>
      <c r="C118" s="214"/>
      <c r="D118" s="214"/>
      <c r="E118" s="214"/>
      <c r="F118" s="214"/>
      <c r="G118" s="214"/>
      <c r="H118" s="1523" t="s">
        <v>1585</v>
      </c>
      <c r="I118" s="1523"/>
      <c r="J118" s="1523"/>
      <c r="K118" s="1523"/>
      <c r="L118" s="1522"/>
      <c r="M118" s="1522"/>
      <c r="N118" s="214"/>
      <c r="O118" s="87"/>
      <c r="P118" s="87"/>
      <c r="Q118" s="87" t="b">
        <v>0</v>
      </c>
      <c r="R118" s="87"/>
    </row>
    <row r="119" spans="1:18" x14ac:dyDescent="0.25">
      <c r="A119" s="214"/>
      <c r="B119" s="214"/>
      <c r="C119" s="214"/>
      <c r="D119" s="214"/>
      <c r="E119" s="214"/>
      <c r="F119" s="214"/>
      <c r="G119" s="214"/>
      <c r="H119" s="214"/>
      <c r="I119" s="214"/>
      <c r="J119" s="214"/>
      <c r="K119" s="214"/>
      <c r="L119" s="214"/>
      <c r="M119" s="214"/>
      <c r="N119" s="214"/>
    </row>
    <row r="120" spans="1:18" ht="18" customHeight="1" x14ac:dyDescent="0.25">
      <c r="A120" s="214"/>
      <c r="B120" s="1494" t="s">
        <v>1032</v>
      </c>
      <c r="C120" s="1494"/>
      <c r="D120" s="1494"/>
      <c r="E120" s="250" t="str">
        <f>IF(O114=TRUE,IF(AND(O116=TRUE,O117=TRUE),"Yes",IF(AND(Q114=TRUE,Q116=TRUE,Q117=TRUE,Q118=TRUE),"Yes","No")),IF(Q114=TRUE,IF(AND(Q116=TRUE,Q117=TRUE,Q118=TRUE),"Yes","No"),"No"))</f>
        <v>No</v>
      </c>
      <c r="F120" s="214"/>
      <c r="G120" s="214"/>
      <c r="H120" s="214"/>
      <c r="I120" s="214"/>
      <c r="J120" s="214"/>
      <c r="K120" s="214"/>
      <c r="L120" s="214"/>
      <c r="M120" s="214"/>
      <c r="N120" s="214"/>
    </row>
    <row r="121" spans="1:18" x14ac:dyDescent="0.25">
      <c r="A121" s="214"/>
      <c r="B121" s="214"/>
      <c r="C121" s="214"/>
      <c r="D121" s="214"/>
      <c r="E121" s="214"/>
      <c r="F121" s="214"/>
      <c r="G121" s="214"/>
      <c r="H121" s="214"/>
      <c r="I121" s="214"/>
      <c r="J121" s="214"/>
      <c r="K121" s="214"/>
      <c r="L121" s="214"/>
      <c r="M121" s="214"/>
      <c r="N121" s="214"/>
    </row>
    <row r="122" spans="1:18" ht="18" customHeight="1" x14ac:dyDescent="0.25">
      <c r="A122" s="214"/>
      <c r="B122" s="705" t="s">
        <v>1295</v>
      </c>
      <c r="C122" s="214"/>
      <c r="D122" s="214"/>
      <c r="E122" s="214"/>
      <c r="F122" s="214"/>
      <c r="G122" s="214"/>
      <c r="H122" s="214"/>
      <c r="I122" s="214"/>
      <c r="J122" s="214"/>
      <c r="K122" s="1609" t="s">
        <v>1328</v>
      </c>
      <c r="L122" s="1609"/>
      <c r="M122" s="1609"/>
      <c r="N122" s="1609"/>
    </row>
    <row r="123" spans="1:18" x14ac:dyDescent="0.25">
      <c r="A123" s="214"/>
      <c r="B123" s="584"/>
      <c r="C123" s="214"/>
      <c r="D123" s="214"/>
      <c r="E123" s="214"/>
      <c r="F123" s="214"/>
      <c r="G123" s="214"/>
      <c r="H123" s="214"/>
      <c r="I123" s="214"/>
      <c r="J123" s="214"/>
      <c r="K123" s="1609"/>
      <c r="L123" s="1609"/>
      <c r="M123" s="1609"/>
      <c r="N123" s="1609"/>
    </row>
    <row r="124" spans="1:18" ht="24" customHeight="1" x14ac:dyDescent="0.25">
      <c r="A124" s="429"/>
      <c r="B124" s="1591" t="s">
        <v>2196</v>
      </c>
      <c r="C124" s="1591"/>
      <c r="D124" s="1591"/>
      <c r="E124" s="1591"/>
      <c r="F124" s="1591"/>
      <c r="G124" s="1591"/>
      <c r="H124" s="1591"/>
      <c r="I124" s="1591"/>
      <c r="J124" s="1591"/>
      <c r="K124" s="1591"/>
      <c r="L124" s="1591"/>
      <c r="M124" s="227"/>
      <c r="N124" s="227"/>
    </row>
    <row r="125" spans="1:18" x14ac:dyDescent="0.25">
      <c r="A125" s="429"/>
      <c r="B125" s="583"/>
      <c r="C125" s="227"/>
      <c r="D125" s="227"/>
      <c r="E125" s="227"/>
      <c r="F125" s="227"/>
      <c r="G125" s="227"/>
      <c r="H125" s="227"/>
      <c r="I125" s="227"/>
      <c r="J125" s="227"/>
      <c r="K125" s="227"/>
      <c r="L125" s="227"/>
      <c r="M125" s="227"/>
      <c r="N125" s="227"/>
    </row>
    <row r="126" spans="1:18" x14ac:dyDescent="0.25">
      <c r="A126" s="429"/>
      <c r="B126" s="1534" t="s">
        <v>1022</v>
      </c>
      <c r="C126" s="1535"/>
      <c r="D126" s="1535"/>
      <c r="E126" s="1535"/>
      <c r="F126" s="1535"/>
      <c r="G126" s="1535"/>
      <c r="H126" s="1535"/>
      <c r="I126" s="1535"/>
      <c r="J126" s="1536"/>
      <c r="K126" s="227"/>
      <c r="L126" s="227"/>
      <c r="M126" s="227"/>
      <c r="N126" s="227"/>
    </row>
    <row r="127" spans="1:18" x14ac:dyDescent="0.25">
      <c r="A127" s="429"/>
      <c r="B127" s="1537" t="s">
        <v>1033</v>
      </c>
      <c r="C127" s="1538"/>
      <c r="D127" s="1538"/>
      <c r="E127" s="1538"/>
      <c r="F127" s="1538"/>
      <c r="G127" s="1538"/>
      <c r="H127" s="1538"/>
      <c r="I127" s="1538"/>
      <c r="J127" s="1539"/>
      <c r="K127" s="227"/>
      <c r="L127" s="227"/>
      <c r="M127" s="227"/>
      <c r="N127" s="227"/>
    </row>
    <row r="128" spans="1:18" x14ac:dyDescent="0.25">
      <c r="A128" s="429"/>
      <c r="B128" s="1537" t="s">
        <v>1023</v>
      </c>
      <c r="C128" s="1538"/>
      <c r="D128" s="1538"/>
      <c r="E128" s="1538"/>
      <c r="F128" s="1538"/>
      <c r="G128" s="1538"/>
      <c r="H128" s="1538"/>
      <c r="I128" s="1538"/>
      <c r="J128" s="1539"/>
      <c r="K128" s="227"/>
      <c r="L128" s="227"/>
      <c r="M128" s="227"/>
      <c r="N128" s="227"/>
    </row>
    <row r="129" spans="1:15" x14ac:dyDescent="0.25">
      <c r="A129" s="429"/>
      <c r="B129" s="1537" t="s">
        <v>1024</v>
      </c>
      <c r="C129" s="1538"/>
      <c r="D129" s="1538"/>
      <c r="E129" s="1538"/>
      <c r="F129" s="1538"/>
      <c r="G129" s="1538"/>
      <c r="H129" s="1538"/>
      <c r="I129" s="1538"/>
      <c r="J129" s="1539"/>
      <c r="K129" s="227"/>
      <c r="L129" s="227"/>
      <c r="M129" s="227"/>
      <c r="N129" s="227"/>
    </row>
    <row r="130" spans="1:15" x14ac:dyDescent="0.25">
      <c r="A130" s="429"/>
      <c r="B130" s="1537" t="s">
        <v>1886</v>
      </c>
      <c r="C130" s="1538"/>
      <c r="D130" s="1538"/>
      <c r="E130" s="1538"/>
      <c r="F130" s="1538"/>
      <c r="G130" s="1538"/>
      <c r="H130" s="1538"/>
      <c r="I130" s="1538"/>
      <c r="J130" s="1539"/>
      <c r="K130" s="227"/>
      <c r="L130" s="227"/>
      <c r="M130" s="227"/>
      <c r="N130" s="227"/>
    </row>
    <row r="131" spans="1:15" x14ac:dyDescent="0.25">
      <c r="A131" s="429"/>
      <c r="B131" s="1540" t="s">
        <v>1887</v>
      </c>
      <c r="C131" s="1541"/>
      <c r="D131" s="1541"/>
      <c r="E131" s="1541"/>
      <c r="F131" s="1541"/>
      <c r="G131" s="1541"/>
      <c r="H131" s="1541"/>
      <c r="I131" s="1541"/>
      <c r="J131" s="1542"/>
      <c r="K131" s="227"/>
      <c r="L131" s="227"/>
      <c r="M131" s="227"/>
      <c r="N131" s="227"/>
    </row>
    <row r="132" spans="1:15" x14ac:dyDescent="0.25">
      <c r="A132" s="429"/>
      <c r="B132" s="544"/>
      <c r="C132" s="227"/>
      <c r="D132" s="227"/>
      <c r="E132" s="227"/>
      <c r="F132" s="227"/>
      <c r="G132" s="227"/>
      <c r="H132" s="227"/>
      <c r="I132" s="227"/>
      <c r="J132" s="227"/>
      <c r="K132" s="227"/>
      <c r="L132" s="227"/>
      <c r="M132" s="227"/>
      <c r="N132" s="227"/>
    </row>
    <row r="133" spans="1:15" x14ac:dyDescent="0.25">
      <c r="A133" s="429"/>
      <c r="B133" s="697" t="s">
        <v>1025</v>
      </c>
      <c r="C133" s="227"/>
      <c r="D133" s="227"/>
      <c r="E133" s="227"/>
      <c r="F133" s="227"/>
      <c r="G133" s="227"/>
      <c r="H133" s="227"/>
      <c r="I133" s="227"/>
      <c r="J133" s="227"/>
      <c r="K133" s="227"/>
      <c r="L133" s="227"/>
      <c r="M133" s="227"/>
      <c r="N133" s="227"/>
    </row>
    <row r="134" spans="1:15" x14ac:dyDescent="0.25">
      <c r="A134" s="429"/>
      <c r="B134" s="698" t="s">
        <v>1305</v>
      </c>
      <c r="C134" s="227"/>
      <c r="D134" s="227"/>
      <c r="E134" s="227"/>
      <c r="F134" s="227"/>
      <c r="G134" s="227"/>
      <c r="H134" s="227"/>
      <c r="I134" s="227"/>
      <c r="J134" s="227"/>
      <c r="K134" s="227"/>
      <c r="L134" s="227"/>
      <c r="M134" s="227"/>
      <c r="N134" s="227"/>
    </row>
    <row r="135" spans="1:15" x14ac:dyDescent="0.25">
      <c r="A135" s="429"/>
      <c r="B135" s="227"/>
      <c r="C135" s="227"/>
      <c r="D135" s="227"/>
      <c r="E135" s="227"/>
      <c r="F135" s="227"/>
      <c r="G135" s="227"/>
      <c r="H135" s="227"/>
      <c r="I135" s="227"/>
      <c r="J135" s="227"/>
      <c r="K135" s="227"/>
      <c r="L135" s="227"/>
      <c r="M135" s="227"/>
      <c r="N135" s="227"/>
    </row>
    <row r="136" spans="1:15" ht="16.5" customHeight="1" x14ac:dyDescent="0.25">
      <c r="A136" s="1410" t="s">
        <v>26</v>
      </c>
      <c r="B136" s="1410"/>
      <c r="C136" s="1410"/>
      <c r="D136" s="227"/>
      <c r="E136" s="227"/>
      <c r="F136" s="227"/>
      <c r="G136" s="227"/>
      <c r="H136" s="227"/>
      <c r="I136" s="227"/>
      <c r="J136" s="227"/>
      <c r="K136" s="227"/>
      <c r="L136" s="227"/>
      <c r="M136" s="227"/>
      <c r="N136" s="227"/>
    </row>
    <row r="137" spans="1:15" ht="11.25" customHeight="1" x14ac:dyDescent="0.25">
      <c r="A137" s="227"/>
      <c r="B137" s="227"/>
      <c r="C137" s="227"/>
      <c r="D137" s="227"/>
      <c r="E137" s="227"/>
      <c r="F137" s="227"/>
      <c r="G137" s="227"/>
      <c r="H137" s="227"/>
      <c r="I137" s="227"/>
      <c r="J137" s="227"/>
      <c r="K137" s="227"/>
      <c r="L137" s="227"/>
      <c r="M137" s="227"/>
      <c r="N137" s="227"/>
    </row>
    <row r="138" spans="1:15" ht="17.25" customHeight="1" x14ac:dyDescent="0.25">
      <c r="A138" s="227"/>
      <c r="B138" s="706" t="s">
        <v>1327</v>
      </c>
      <c r="C138" s="227"/>
      <c r="D138" s="227"/>
      <c r="E138" s="227"/>
      <c r="F138" s="227"/>
      <c r="G138" s="227"/>
      <c r="H138" s="227"/>
      <c r="I138" s="227"/>
      <c r="J138" s="227"/>
      <c r="K138" s="227"/>
      <c r="L138" s="227"/>
      <c r="M138" s="227"/>
      <c r="N138" s="227"/>
    </row>
    <row r="139" spans="1:15" ht="9.75" customHeight="1" x14ac:dyDescent="0.25">
      <c r="A139" s="227"/>
      <c r="B139" s="227"/>
      <c r="C139" s="227"/>
      <c r="D139" s="227"/>
      <c r="E139" s="227"/>
      <c r="F139" s="227"/>
      <c r="G139" s="227"/>
      <c r="H139" s="227"/>
      <c r="I139" s="227"/>
      <c r="J139" s="227"/>
      <c r="K139" s="227"/>
      <c r="L139" s="227"/>
      <c r="M139" s="227"/>
      <c r="N139" s="227"/>
    </row>
    <row r="140" spans="1:15" ht="40.5" customHeight="1" x14ac:dyDescent="0.25">
      <c r="A140" s="227"/>
      <c r="B140" s="405" t="s">
        <v>607</v>
      </c>
      <c r="C140" s="563" t="s">
        <v>1888</v>
      </c>
      <c r="D140" s="527" t="s">
        <v>576</v>
      </c>
      <c r="E140" s="527" t="s">
        <v>1889</v>
      </c>
      <c r="F140" s="527" t="s">
        <v>608</v>
      </c>
      <c r="G140" s="527" t="s">
        <v>609</v>
      </c>
      <c r="H140" s="527" t="s">
        <v>610</v>
      </c>
      <c r="I140" s="527" t="s">
        <v>1021</v>
      </c>
      <c r="J140" s="529" t="s">
        <v>606</v>
      </c>
      <c r="K140" s="227"/>
      <c r="L140" s="227"/>
      <c r="M140" s="227"/>
      <c r="N140" s="227"/>
      <c r="O140" s="227"/>
    </row>
    <row r="141" spans="1:15" ht="15" customHeight="1" x14ac:dyDescent="0.25">
      <c r="A141" s="227"/>
      <c r="B141" s="293"/>
      <c r="C141" s="572"/>
      <c r="D141" s="572"/>
      <c r="E141" s="1114" t="s">
        <v>129</v>
      </c>
      <c r="F141" s="1114" t="s">
        <v>129</v>
      </c>
      <c r="G141" s="1115" t="s">
        <v>129</v>
      </c>
      <c r="H141" s="1115"/>
      <c r="I141" s="504"/>
      <c r="J141" s="564" t="str">
        <f t="shared" ref="J141:J150" si="4">IF(OR(E141="No",F141="No",G141="No",I141&gt;1,H141&gt;15),"No",IF(OR(E141="Select",F141="Select",G141="Select",H141="",I141=""),"",IF(G141="on adjacent walls",IF(H141&lt;3,"No","Yes"),"Yes")))</f>
        <v/>
      </c>
      <c r="K141" s="227"/>
      <c r="L141" s="227"/>
      <c r="M141" s="227"/>
      <c r="N141" s="227"/>
      <c r="O141" s="227"/>
    </row>
    <row r="142" spans="1:15" ht="15" customHeight="1" x14ac:dyDescent="0.25">
      <c r="A142" s="227"/>
      <c r="B142" s="293"/>
      <c r="C142" s="572"/>
      <c r="D142" s="535"/>
      <c r="E142" s="569" t="s">
        <v>129</v>
      </c>
      <c r="F142" s="569" t="s">
        <v>129</v>
      </c>
      <c r="G142" s="572" t="s">
        <v>129</v>
      </c>
      <c r="H142" s="572"/>
      <c r="I142" s="504"/>
      <c r="J142" s="528" t="str">
        <f t="shared" si="4"/>
        <v/>
      </c>
      <c r="K142" s="227"/>
      <c r="L142" s="227"/>
      <c r="M142" s="227"/>
      <c r="N142" s="227"/>
      <c r="O142" s="227"/>
    </row>
    <row r="143" spans="1:15" ht="15" customHeight="1" x14ac:dyDescent="0.25">
      <c r="A143" s="227"/>
      <c r="B143" s="977"/>
      <c r="C143" s="980"/>
      <c r="D143" s="980"/>
      <c r="E143" s="979" t="s">
        <v>129</v>
      </c>
      <c r="F143" s="979" t="s">
        <v>129</v>
      </c>
      <c r="G143" s="980" t="s">
        <v>129</v>
      </c>
      <c r="H143" s="980"/>
      <c r="I143" s="504"/>
      <c r="J143" s="978" t="str">
        <f t="shared" ref="J143:J145" si="5">IF(OR(E143="No",F143="No",G143="No",I143&gt;1,H143&gt;15),"No",IF(OR(E143="Select",F143="Select",G143="Select",H143="",I143=""),"",IF(G143="on adjacent walls",IF(H143&lt;3,"No","Yes"),"Yes")))</f>
        <v/>
      </c>
      <c r="K143" s="227"/>
      <c r="L143" s="227"/>
      <c r="M143" s="227"/>
      <c r="N143" s="227"/>
      <c r="O143" s="227"/>
    </row>
    <row r="144" spans="1:15" ht="15" customHeight="1" x14ac:dyDescent="0.25">
      <c r="A144" s="227"/>
      <c r="B144" s="977"/>
      <c r="C144" s="980"/>
      <c r="D144" s="980"/>
      <c r="E144" s="979" t="s">
        <v>129</v>
      </c>
      <c r="F144" s="979" t="s">
        <v>129</v>
      </c>
      <c r="G144" s="980" t="s">
        <v>129</v>
      </c>
      <c r="H144" s="980"/>
      <c r="I144" s="504"/>
      <c r="J144" s="978" t="str">
        <f t="shared" si="5"/>
        <v/>
      </c>
      <c r="K144" s="227"/>
      <c r="L144" s="227"/>
      <c r="M144" s="227"/>
      <c r="N144" s="227"/>
      <c r="O144" s="227"/>
    </row>
    <row r="145" spans="1:15" ht="15" customHeight="1" x14ac:dyDescent="0.25">
      <c r="A145" s="227"/>
      <c r="B145" s="977"/>
      <c r="C145" s="980"/>
      <c r="D145" s="980"/>
      <c r="E145" s="979" t="s">
        <v>129</v>
      </c>
      <c r="F145" s="979" t="s">
        <v>129</v>
      </c>
      <c r="G145" s="980" t="s">
        <v>129</v>
      </c>
      <c r="H145" s="980"/>
      <c r="I145" s="504"/>
      <c r="J145" s="978" t="str">
        <f t="shared" si="5"/>
        <v/>
      </c>
      <c r="K145" s="227"/>
      <c r="L145" s="227"/>
      <c r="M145" s="227"/>
      <c r="N145" s="227"/>
      <c r="O145" s="227"/>
    </row>
    <row r="146" spans="1:15" ht="15" customHeight="1" x14ac:dyDescent="0.25">
      <c r="A146" s="227"/>
      <c r="B146" s="293"/>
      <c r="C146" s="572"/>
      <c r="D146" s="535"/>
      <c r="E146" s="532" t="s">
        <v>129</v>
      </c>
      <c r="F146" s="532" t="s">
        <v>129</v>
      </c>
      <c r="G146" s="535" t="s">
        <v>129</v>
      </c>
      <c r="H146" s="535"/>
      <c r="I146" s="504"/>
      <c r="J146" s="564" t="str">
        <f t="shared" si="4"/>
        <v/>
      </c>
      <c r="K146" s="227"/>
      <c r="L146" s="227"/>
      <c r="M146" s="227"/>
      <c r="N146" s="227"/>
      <c r="O146" s="227"/>
    </row>
    <row r="147" spans="1:15" ht="15" customHeight="1" x14ac:dyDescent="0.25">
      <c r="A147" s="227"/>
      <c r="B147" s="565"/>
      <c r="C147" s="572"/>
      <c r="D147" s="572"/>
      <c r="E147" s="569" t="s">
        <v>129</v>
      </c>
      <c r="F147" s="569" t="s">
        <v>129</v>
      </c>
      <c r="G147" s="572" t="s">
        <v>129</v>
      </c>
      <c r="H147" s="572"/>
      <c r="I147" s="504"/>
      <c r="J147" s="564" t="str">
        <f t="shared" si="4"/>
        <v/>
      </c>
      <c r="K147" s="227"/>
      <c r="L147" s="227"/>
      <c r="M147" s="227"/>
      <c r="N147" s="227"/>
      <c r="O147" s="227"/>
    </row>
    <row r="148" spans="1:15" ht="15" customHeight="1" x14ac:dyDescent="0.25">
      <c r="A148" s="227"/>
      <c r="B148" s="565"/>
      <c r="C148" s="572"/>
      <c r="D148" s="572"/>
      <c r="E148" s="569" t="s">
        <v>129</v>
      </c>
      <c r="F148" s="569" t="s">
        <v>129</v>
      </c>
      <c r="G148" s="572" t="s">
        <v>129</v>
      </c>
      <c r="H148" s="572"/>
      <c r="I148" s="504"/>
      <c r="J148" s="564" t="str">
        <f t="shared" si="4"/>
        <v/>
      </c>
      <c r="K148" s="227"/>
      <c r="L148" s="227"/>
      <c r="M148" s="227"/>
      <c r="N148" s="227"/>
      <c r="O148" s="227"/>
    </row>
    <row r="149" spans="1:15" ht="15" customHeight="1" x14ac:dyDescent="0.25">
      <c r="A149" s="227"/>
      <c r="B149" s="293"/>
      <c r="C149" s="572"/>
      <c r="D149" s="535"/>
      <c r="E149" s="532" t="s">
        <v>129</v>
      </c>
      <c r="F149" s="532" t="s">
        <v>129</v>
      </c>
      <c r="G149" s="535" t="s">
        <v>129</v>
      </c>
      <c r="H149" s="535"/>
      <c r="I149" s="504"/>
      <c r="J149" s="564" t="str">
        <f t="shared" si="4"/>
        <v/>
      </c>
      <c r="K149" s="227"/>
      <c r="L149" s="227"/>
      <c r="M149" s="227"/>
      <c r="N149" s="227"/>
      <c r="O149" s="227"/>
    </row>
    <row r="150" spans="1:15" ht="15" customHeight="1" x14ac:dyDescent="0.25">
      <c r="A150" s="227"/>
      <c r="B150" s="293"/>
      <c r="C150" s="572"/>
      <c r="D150" s="535"/>
      <c r="E150" s="532" t="s">
        <v>129</v>
      </c>
      <c r="F150" s="532" t="s">
        <v>129</v>
      </c>
      <c r="G150" s="535" t="s">
        <v>129</v>
      </c>
      <c r="H150" s="535"/>
      <c r="I150" s="504"/>
      <c r="J150" s="564" t="str">
        <f t="shared" si="4"/>
        <v/>
      </c>
      <c r="K150" s="227"/>
      <c r="L150" s="227"/>
      <c r="M150" s="227"/>
      <c r="N150" s="227"/>
      <c r="O150" s="227"/>
    </row>
    <row r="151" spans="1:15" ht="15" customHeight="1" x14ac:dyDescent="0.25">
      <c r="A151" s="227"/>
      <c r="B151" s="227"/>
      <c r="C151" s="227"/>
      <c r="D151" s="227"/>
      <c r="E151" s="227"/>
      <c r="F151" s="227"/>
      <c r="G151" s="227"/>
      <c r="H151" s="227"/>
      <c r="I151" s="227"/>
      <c r="J151" s="227"/>
      <c r="K151" s="227"/>
      <c r="L151" s="227"/>
      <c r="M151" s="227"/>
      <c r="N151" s="227"/>
    </row>
    <row r="152" spans="1:15" ht="18" customHeight="1" x14ac:dyDescent="0.25">
      <c r="A152" s="227"/>
      <c r="B152" s="1604" t="s">
        <v>1112</v>
      </c>
      <c r="C152" s="1604"/>
      <c r="D152" s="1604"/>
      <c r="E152" s="1604"/>
      <c r="F152" s="295" t="str">
        <f>IFERROR(SUMIF(J141:J150,"Yes",C141:C150)/SUM(C141:C150),"")</f>
        <v/>
      </c>
      <c r="G152" s="227"/>
      <c r="H152" s="227"/>
      <c r="I152" s="227"/>
      <c r="J152" s="227"/>
      <c r="K152" s="227"/>
      <c r="L152" s="227"/>
      <c r="M152" s="227"/>
      <c r="N152" s="227"/>
    </row>
    <row r="153" spans="1:15" ht="19.5" customHeight="1" x14ac:dyDescent="0.25">
      <c r="A153" s="227"/>
      <c r="B153" s="227"/>
      <c r="C153" s="227"/>
      <c r="D153" s="227"/>
      <c r="E153" s="227"/>
      <c r="F153" s="227"/>
      <c r="G153" s="227"/>
      <c r="H153" s="227"/>
      <c r="I153" s="227"/>
      <c r="J153" s="227"/>
      <c r="K153" s="227"/>
      <c r="L153" s="227"/>
      <c r="M153" s="227"/>
      <c r="N153" s="227"/>
    </row>
    <row r="154" spans="1:15" s="42" customFormat="1" ht="16.5" customHeight="1" x14ac:dyDescent="0.25">
      <c r="A154" s="1410" t="s">
        <v>200</v>
      </c>
      <c r="B154" s="1410"/>
      <c r="C154" s="1410"/>
      <c r="D154" s="227"/>
      <c r="E154" s="227"/>
      <c r="F154" s="227"/>
      <c r="G154" s="227"/>
      <c r="H154" s="227"/>
      <c r="I154" s="227"/>
      <c r="J154" s="227"/>
      <c r="K154" s="227"/>
      <c r="L154" s="227"/>
      <c r="M154" s="227"/>
      <c r="N154" s="227"/>
    </row>
    <row r="155" spans="1:15" s="42" customFormat="1" ht="12.75" customHeight="1" x14ac:dyDescent="0.25">
      <c r="A155" s="227"/>
      <c r="B155" s="227"/>
      <c r="C155" s="227"/>
      <c r="D155" s="227"/>
      <c r="E155" s="227"/>
      <c r="F155" s="227"/>
      <c r="G155" s="227"/>
      <c r="H155" s="227"/>
      <c r="I155" s="227"/>
      <c r="J155" s="227"/>
      <c r="K155" s="227"/>
      <c r="L155" s="227"/>
      <c r="M155" s="227"/>
      <c r="N155" s="227"/>
    </row>
    <row r="156" spans="1:15" s="42" customFormat="1" ht="21" customHeight="1" x14ac:dyDescent="0.25">
      <c r="A156" s="227"/>
      <c r="B156" s="1446" t="s">
        <v>2194</v>
      </c>
      <c r="C156" s="1447"/>
      <c r="D156" s="1447"/>
      <c r="E156" s="1447"/>
      <c r="F156" s="1447"/>
      <c r="G156" s="1045" t="s">
        <v>2101</v>
      </c>
      <c r="H156" s="1443" t="s">
        <v>2102</v>
      </c>
      <c r="I156" s="1444"/>
      <c r="J156" s="227"/>
      <c r="K156" s="227"/>
      <c r="L156" s="227"/>
      <c r="M156" s="227"/>
      <c r="N156" s="227"/>
    </row>
    <row r="157" spans="1:15" s="42" customFormat="1" ht="21" customHeight="1" x14ac:dyDescent="0.25">
      <c r="A157" s="227"/>
      <c r="B157" s="1436" t="s">
        <v>1297</v>
      </c>
      <c r="C157" s="1437"/>
      <c r="D157" s="1437"/>
      <c r="E157" s="1437"/>
      <c r="F157" s="1438"/>
      <c r="G157" s="565" t="s">
        <v>129</v>
      </c>
      <c r="H157" s="1441"/>
      <c r="I157" s="1442"/>
      <c r="J157" s="227"/>
      <c r="K157" s="227"/>
      <c r="L157" s="227"/>
      <c r="M157" s="227"/>
      <c r="N157" s="227"/>
    </row>
    <row r="158" spans="1:15" s="42" customFormat="1" ht="21" customHeight="1" x14ac:dyDescent="0.25">
      <c r="A158" s="227"/>
      <c r="B158" s="1436" t="s">
        <v>1298</v>
      </c>
      <c r="C158" s="1437"/>
      <c r="D158" s="1437"/>
      <c r="E158" s="1437"/>
      <c r="F158" s="1438"/>
      <c r="G158" s="565" t="s">
        <v>129</v>
      </c>
      <c r="H158" s="1441"/>
      <c r="I158" s="1442"/>
      <c r="J158" s="227"/>
      <c r="K158" s="227"/>
      <c r="L158" s="227"/>
      <c r="M158" s="227"/>
      <c r="N158" s="227"/>
    </row>
    <row r="159" spans="1:15" s="42" customFormat="1" ht="18" customHeight="1" x14ac:dyDescent="0.25">
      <c r="A159" s="227"/>
      <c r="B159" s="1047" t="s">
        <v>1295</v>
      </c>
      <c r="C159" s="227"/>
      <c r="D159" s="227"/>
      <c r="E159" s="227"/>
      <c r="F159" s="227"/>
      <c r="G159" s="227"/>
      <c r="H159" s="227"/>
      <c r="I159" s="227"/>
      <c r="J159" s="227"/>
      <c r="K159" s="227"/>
      <c r="L159" s="227"/>
      <c r="M159" s="227"/>
      <c r="N159" s="227"/>
    </row>
    <row r="160" spans="1:15" s="42" customFormat="1" ht="21" customHeight="1" x14ac:dyDescent="0.25">
      <c r="A160" s="227"/>
      <c r="B160" s="1446" t="s">
        <v>2195</v>
      </c>
      <c r="C160" s="1447"/>
      <c r="D160" s="1447"/>
      <c r="E160" s="1447"/>
      <c r="F160" s="1447"/>
      <c r="G160" s="1141" t="s">
        <v>2101</v>
      </c>
      <c r="H160" s="1443" t="s">
        <v>2102</v>
      </c>
      <c r="I160" s="1444"/>
      <c r="J160" s="227"/>
      <c r="K160" s="227"/>
      <c r="L160" s="227"/>
      <c r="M160" s="227"/>
      <c r="N160" s="227"/>
    </row>
    <row r="161" spans="1:19" s="42" customFormat="1" ht="21" customHeight="1" x14ac:dyDescent="0.25">
      <c r="A161" s="227"/>
      <c r="B161" s="1436" t="s">
        <v>1301</v>
      </c>
      <c r="C161" s="1437"/>
      <c r="D161" s="1437"/>
      <c r="E161" s="1437"/>
      <c r="F161" s="1438"/>
      <c r="G161" s="518" t="s">
        <v>129</v>
      </c>
      <c r="H161" s="1441"/>
      <c r="I161" s="1442"/>
      <c r="J161" s="227"/>
      <c r="K161" s="227"/>
      <c r="L161" s="227"/>
      <c r="M161" s="227"/>
      <c r="N161" s="227"/>
    </row>
    <row r="162" spans="1:19" s="42" customFormat="1" ht="21" customHeight="1" x14ac:dyDescent="0.25">
      <c r="A162" s="227"/>
      <c r="B162" s="1436" t="s">
        <v>1302</v>
      </c>
      <c r="C162" s="1437"/>
      <c r="D162" s="1437"/>
      <c r="E162" s="1437"/>
      <c r="F162" s="1438"/>
      <c r="G162" s="518" t="s">
        <v>129</v>
      </c>
      <c r="H162" s="1441"/>
      <c r="I162" s="1442"/>
      <c r="J162" s="227"/>
      <c r="K162" s="227"/>
      <c r="L162" s="227"/>
      <c r="M162" s="227"/>
      <c r="N162" s="227"/>
    </row>
    <row r="163" spans="1:19" ht="18" customHeight="1" x14ac:dyDescent="0.25">
      <c r="A163" s="227"/>
      <c r="B163" s="227"/>
      <c r="C163" s="227"/>
      <c r="D163" s="227"/>
      <c r="E163" s="227"/>
      <c r="F163" s="227"/>
      <c r="G163" s="227"/>
      <c r="H163" s="227"/>
      <c r="I163" s="227"/>
      <c r="J163" s="227"/>
      <c r="K163" s="227"/>
      <c r="L163" s="227"/>
      <c r="M163" s="227"/>
      <c r="N163" s="227"/>
    </row>
    <row r="164" spans="1:19" ht="16.5" customHeight="1" x14ac:dyDescent="0.25">
      <c r="A164" s="1410" t="s">
        <v>25</v>
      </c>
      <c r="B164" s="1410"/>
      <c r="C164" s="1410"/>
      <c r="D164" s="227"/>
      <c r="E164" s="227"/>
      <c r="F164" s="227"/>
      <c r="G164" s="227"/>
      <c r="H164" s="227"/>
      <c r="I164" s="227"/>
      <c r="J164" s="227"/>
      <c r="K164" s="227"/>
      <c r="L164" s="227"/>
      <c r="M164" s="227"/>
      <c r="N164" s="227"/>
      <c r="O164" s="42"/>
      <c r="P164" s="42"/>
      <c r="Q164" s="42"/>
      <c r="R164" s="42"/>
      <c r="S164" s="42"/>
    </row>
    <row r="165" spans="1:19" ht="14.25" customHeight="1" x14ac:dyDescent="0.25">
      <c r="A165" s="227"/>
      <c r="B165" s="227"/>
      <c r="C165" s="227"/>
      <c r="D165" s="227"/>
      <c r="E165" s="227"/>
      <c r="F165" s="227"/>
      <c r="G165" s="227"/>
      <c r="H165" s="227"/>
      <c r="I165" s="227"/>
      <c r="J165" s="227"/>
      <c r="K165" s="227"/>
      <c r="L165" s="227"/>
      <c r="M165" s="227"/>
      <c r="N165" s="227"/>
    </row>
    <row r="166" spans="1:19" ht="18" customHeight="1" x14ac:dyDescent="0.25">
      <c r="A166" s="227"/>
      <c r="B166" s="192" t="s">
        <v>56</v>
      </c>
      <c r="C166" s="1190" t="str">
        <f>IF(D40="Performance Path",IF(F152="",0,IF(F152&gt;=0.1,4,IF(F152&gt;=0.75,3,IF(F152&gt;=0.5,2,IF(F152&gt;=0.25,1,0)))))+IF(E120="Yes",1,0),"")</f>
        <v/>
      </c>
      <c r="D166" s="227"/>
      <c r="E166" s="227"/>
      <c r="F166" s="227"/>
      <c r="G166" s="227"/>
      <c r="H166" s="227"/>
      <c r="I166" s="227"/>
      <c r="J166" s="227"/>
      <c r="K166" s="227"/>
      <c r="L166" s="227"/>
      <c r="M166" s="227"/>
      <c r="N166" s="227"/>
    </row>
    <row r="167" spans="1:19" ht="18" customHeight="1" x14ac:dyDescent="0.25">
      <c r="A167" s="227"/>
      <c r="B167" s="192" t="s">
        <v>521</v>
      </c>
      <c r="C167" s="1190" t="str">
        <f>IF(D40="Performance Path",IF(E120="Yes",IF(COUNTIF(G157:G158,"Submitted")&lt;2,"No",IF(C166&gt;1,IF(COUNTIF(G161:G162,"Submitted")&lt;2,"No","Yes"),"Yes")),IF(C166&gt;=1,IF(COUNTIF(G161:G162,"Submitted")&lt;2,"No","Yes"),"No")),"")</f>
        <v/>
      </c>
      <c r="D167" s="227"/>
      <c r="E167" s="227"/>
      <c r="F167" s="227"/>
      <c r="G167" s="227"/>
      <c r="H167" s="227"/>
      <c r="I167" s="227"/>
      <c r="J167" s="227"/>
      <c r="K167" s="227"/>
      <c r="L167" s="227"/>
      <c r="M167" s="227"/>
      <c r="N167" s="227"/>
    </row>
    <row r="168" spans="1:19" ht="20.25" customHeight="1" x14ac:dyDescent="0.25">
      <c r="A168" s="227"/>
      <c r="B168" s="227"/>
      <c r="C168" s="227"/>
      <c r="D168" s="227"/>
      <c r="E168" s="227"/>
      <c r="F168" s="227"/>
      <c r="G168" s="227"/>
      <c r="H168" s="227"/>
      <c r="I168" s="227"/>
      <c r="J168" s="227"/>
      <c r="K168" s="227"/>
      <c r="L168" s="227"/>
      <c r="M168" s="227"/>
      <c r="N168" s="227"/>
    </row>
    <row r="169" spans="1:19" ht="18" customHeight="1" x14ac:dyDescent="0.25">
      <c r="A169" s="1432" t="s">
        <v>21</v>
      </c>
      <c r="B169" s="1432"/>
      <c r="C169" s="1432"/>
      <c r="D169" s="1432"/>
      <c r="E169" s="1432"/>
      <c r="F169" s="1432"/>
      <c r="G169" s="1432"/>
      <c r="H169" s="1432"/>
      <c r="I169" s="1432"/>
      <c r="J169" s="1432"/>
      <c r="K169" s="1432"/>
      <c r="L169" s="1432"/>
      <c r="M169" s="1432"/>
      <c r="N169" s="1432"/>
    </row>
    <row r="170" spans="1:19" ht="16.5" customHeight="1" x14ac:dyDescent="0.25">
      <c r="A170" s="4"/>
      <c r="B170" s="4"/>
      <c r="C170" s="4"/>
      <c r="D170" s="4"/>
      <c r="E170" s="4"/>
      <c r="F170" s="4"/>
      <c r="G170" s="5"/>
      <c r="H170" s="5"/>
      <c r="I170" s="5"/>
      <c r="J170" s="5"/>
      <c r="K170" s="5"/>
      <c r="L170" s="5"/>
      <c r="M170" s="5"/>
      <c r="N170" s="5"/>
    </row>
    <row r="171" spans="1:19" ht="18" customHeight="1" x14ac:dyDescent="0.25">
      <c r="A171" s="4"/>
      <c r="B171" s="1477" t="s">
        <v>247</v>
      </c>
      <c r="C171" s="1478"/>
      <c r="D171" s="270" t="s">
        <v>16</v>
      </c>
      <c r="E171" s="4"/>
      <c r="F171" s="4"/>
      <c r="G171" s="5"/>
      <c r="H171" s="5"/>
      <c r="I171" s="5"/>
      <c r="J171" s="5"/>
      <c r="K171" s="5"/>
      <c r="L171" s="5"/>
      <c r="M171" s="5"/>
      <c r="N171" s="5"/>
    </row>
    <row r="172" spans="1:19" ht="16.5" customHeight="1" x14ac:dyDescent="0.25">
      <c r="A172" s="4"/>
      <c r="B172" s="4"/>
      <c r="C172" s="4"/>
      <c r="D172" s="4"/>
      <c r="E172" s="4"/>
      <c r="F172" s="4"/>
      <c r="G172" s="5"/>
      <c r="H172" s="5"/>
      <c r="I172" s="5"/>
      <c r="J172" s="5"/>
      <c r="K172" s="5"/>
      <c r="L172" s="5"/>
      <c r="M172" s="5"/>
      <c r="N172" s="5"/>
    </row>
    <row r="173" spans="1:19" ht="17.25" customHeight="1" x14ac:dyDescent="0.25">
      <c r="A173" s="1432" t="s">
        <v>550</v>
      </c>
      <c r="B173" s="1432"/>
      <c r="C173" s="1432"/>
      <c r="D173" s="1432"/>
      <c r="E173" s="1432"/>
      <c r="F173" s="1432"/>
      <c r="G173" s="1432"/>
      <c r="H173" s="1432"/>
      <c r="I173" s="1432"/>
      <c r="J173" s="1432"/>
      <c r="K173" s="1432"/>
      <c r="L173" s="1432"/>
      <c r="M173" s="1432"/>
      <c r="N173" s="1432"/>
    </row>
    <row r="174" spans="1:19" x14ac:dyDescent="0.25">
      <c r="A174" s="296"/>
      <c r="B174" s="213"/>
      <c r="C174" s="213"/>
      <c r="D174" s="213"/>
      <c r="E174" s="213"/>
      <c r="F174" s="213"/>
      <c r="G174" s="213"/>
      <c r="H174" s="213"/>
      <c r="I174" s="213"/>
      <c r="J174" s="213"/>
      <c r="K174" s="213"/>
      <c r="L174" s="213"/>
      <c r="M174" s="213"/>
      <c r="N174" s="213"/>
    </row>
    <row r="175" spans="1:19" ht="16.5" customHeight="1" x14ac:dyDescent="0.25">
      <c r="A175" s="1410" t="s">
        <v>265</v>
      </c>
      <c r="B175" s="1410"/>
      <c r="C175" s="1410"/>
      <c r="D175" s="213"/>
      <c r="E175" s="213"/>
      <c r="F175" s="213"/>
      <c r="G175" s="213"/>
      <c r="H175" s="213"/>
      <c r="I175" s="213"/>
      <c r="J175" s="213"/>
      <c r="K175" s="213"/>
      <c r="L175" s="213"/>
      <c r="M175" s="213"/>
      <c r="N175" s="213"/>
    </row>
    <row r="176" spans="1:19" x14ac:dyDescent="0.25">
      <c r="A176" s="296"/>
      <c r="B176" s="213"/>
      <c r="C176" s="213"/>
      <c r="D176" s="213"/>
      <c r="E176" s="213"/>
      <c r="F176" s="213"/>
      <c r="G176" s="213"/>
      <c r="H176" s="213"/>
      <c r="I176" s="213"/>
      <c r="J176" s="213"/>
      <c r="K176" s="213"/>
      <c r="L176" s="213"/>
      <c r="M176" s="213"/>
      <c r="N176" s="213"/>
    </row>
    <row r="177" spans="1:14" ht="25.5" customHeight="1" x14ac:dyDescent="0.25">
      <c r="A177" s="296"/>
      <c r="B177" s="1566" t="s">
        <v>2197</v>
      </c>
      <c r="C177" s="1567"/>
      <c r="D177" s="1567"/>
      <c r="E177" s="1567"/>
      <c r="F177" s="1567"/>
      <c r="G177" s="1567"/>
      <c r="H177" s="1567"/>
      <c r="I177" s="1567"/>
      <c r="J177" s="1567"/>
      <c r="K177" s="1568"/>
      <c r="L177" s="213"/>
      <c r="M177" s="213"/>
      <c r="N177" s="213"/>
    </row>
    <row r="178" spans="1:14" x14ac:dyDescent="0.25">
      <c r="A178" s="296"/>
      <c r="B178" s="1160" t="s">
        <v>1295</v>
      </c>
      <c r="C178" s="699"/>
      <c r="D178" s="699"/>
      <c r="E178" s="699"/>
      <c r="F178" s="699"/>
      <c r="G178" s="699"/>
      <c r="H178" s="699"/>
      <c r="I178" s="699"/>
      <c r="J178" s="699"/>
      <c r="K178" s="700"/>
      <c r="L178" s="213"/>
      <c r="M178" s="213"/>
      <c r="N178" s="213"/>
    </row>
    <row r="179" spans="1:14" ht="25.5" customHeight="1" x14ac:dyDescent="0.25">
      <c r="A179" s="296"/>
      <c r="B179" s="1569" t="s">
        <v>2198</v>
      </c>
      <c r="C179" s="1570"/>
      <c r="D179" s="1570"/>
      <c r="E179" s="1570"/>
      <c r="F179" s="1570"/>
      <c r="G179" s="1570"/>
      <c r="H179" s="1570"/>
      <c r="I179" s="1570"/>
      <c r="J179" s="1570"/>
      <c r="K179" s="1571"/>
      <c r="L179" s="213"/>
      <c r="M179" s="213"/>
      <c r="N179" s="213"/>
    </row>
    <row r="180" spans="1:14" ht="15.75" customHeight="1" x14ac:dyDescent="0.25">
      <c r="A180" s="296"/>
      <c r="B180" s="213"/>
      <c r="C180" s="213"/>
      <c r="D180" s="213"/>
      <c r="E180" s="213"/>
      <c r="F180" s="213"/>
      <c r="G180" s="213"/>
      <c r="H180" s="213"/>
      <c r="I180" s="213"/>
      <c r="J180" s="213"/>
      <c r="K180" s="213"/>
      <c r="L180" s="213"/>
      <c r="M180" s="213"/>
      <c r="N180" s="213"/>
    </row>
    <row r="181" spans="1:14" ht="16.5" customHeight="1" x14ac:dyDescent="0.25">
      <c r="A181" s="1410" t="s">
        <v>26</v>
      </c>
      <c r="B181" s="1410"/>
      <c r="C181" s="1410"/>
      <c r="D181" s="213"/>
      <c r="E181" s="213"/>
      <c r="F181" s="213"/>
      <c r="G181" s="213"/>
      <c r="H181" s="213"/>
      <c r="I181" s="213"/>
      <c r="J181" s="213"/>
      <c r="K181" s="213"/>
      <c r="L181" s="213"/>
      <c r="M181" s="213"/>
      <c r="N181" s="213"/>
    </row>
    <row r="182" spans="1:14" x14ac:dyDescent="0.25">
      <c r="A182" s="213"/>
      <c r="B182" s="213"/>
      <c r="C182" s="213"/>
      <c r="D182" s="213"/>
      <c r="E182" s="213"/>
      <c r="F182" s="213"/>
      <c r="G182" s="213"/>
      <c r="H182" s="213"/>
      <c r="I182" s="213"/>
      <c r="J182" s="213"/>
      <c r="K182" s="213"/>
      <c r="L182" s="213"/>
      <c r="M182" s="213"/>
      <c r="N182" s="213"/>
    </row>
    <row r="183" spans="1:14" x14ac:dyDescent="0.25">
      <c r="A183" s="213"/>
      <c r="B183" s="707" t="s">
        <v>1329</v>
      </c>
      <c r="C183" s="213"/>
      <c r="D183" s="213"/>
      <c r="E183" s="213"/>
      <c r="F183" s="213"/>
      <c r="G183" s="213"/>
      <c r="H183" s="213"/>
      <c r="I183" s="213"/>
      <c r="J183" s="213"/>
      <c r="K183" s="213"/>
      <c r="L183" s="213"/>
      <c r="M183" s="213"/>
      <c r="N183" s="213"/>
    </row>
    <row r="184" spans="1:14" ht="9" customHeight="1" x14ac:dyDescent="0.25">
      <c r="A184" s="213"/>
      <c r="B184" s="213"/>
      <c r="C184" s="213"/>
      <c r="D184" s="213"/>
      <c r="E184" s="213"/>
      <c r="F184" s="213"/>
      <c r="G184" s="213"/>
      <c r="H184" s="213"/>
      <c r="I184" s="213"/>
      <c r="J184" s="213"/>
      <c r="K184" s="213"/>
      <c r="L184" s="213"/>
      <c r="M184" s="213"/>
      <c r="N184" s="213"/>
    </row>
    <row r="185" spans="1:14" ht="40.5" customHeight="1" x14ac:dyDescent="0.25">
      <c r="A185" s="213"/>
      <c r="B185" s="405" t="s">
        <v>121</v>
      </c>
      <c r="C185" s="406" t="s">
        <v>120</v>
      </c>
      <c r="D185" s="430" t="s">
        <v>114</v>
      </c>
      <c r="E185" s="430" t="s">
        <v>29</v>
      </c>
      <c r="F185" s="406" t="s">
        <v>189</v>
      </c>
      <c r="G185" s="406" t="s">
        <v>188</v>
      </c>
      <c r="H185" s="213"/>
      <c r="I185" s="213"/>
      <c r="J185" s="213"/>
      <c r="K185" s="213"/>
      <c r="L185" s="213"/>
      <c r="M185" s="213"/>
      <c r="N185" s="213"/>
    </row>
    <row r="186" spans="1:14" x14ac:dyDescent="0.25">
      <c r="A186" s="213"/>
      <c r="B186" s="538"/>
      <c r="C186" s="538"/>
      <c r="D186" s="538" t="s">
        <v>129</v>
      </c>
      <c r="E186" s="533"/>
      <c r="F186" s="538" t="s">
        <v>129</v>
      </c>
      <c r="G186" s="538" t="s">
        <v>129</v>
      </c>
      <c r="H186" s="213"/>
      <c r="I186" s="213"/>
      <c r="J186" s="213"/>
      <c r="K186" s="213"/>
      <c r="L186" s="213"/>
      <c r="M186" s="213"/>
      <c r="N186" s="213"/>
    </row>
    <row r="187" spans="1:14" x14ac:dyDescent="0.25">
      <c r="A187" s="213"/>
      <c r="B187" s="531"/>
      <c r="C187" s="531"/>
      <c r="D187" s="574" t="s">
        <v>129</v>
      </c>
      <c r="E187" s="532"/>
      <c r="F187" s="574" t="s">
        <v>129</v>
      </c>
      <c r="G187" s="586" t="s">
        <v>129</v>
      </c>
      <c r="H187" s="213"/>
      <c r="I187" s="213"/>
      <c r="J187" s="213"/>
      <c r="K187" s="213"/>
      <c r="L187" s="213"/>
      <c r="M187" s="213"/>
      <c r="N187" s="213"/>
    </row>
    <row r="188" spans="1:14" x14ac:dyDescent="0.25">
      <c r="A188" s="213"/>
      <c r="B188" s="531"/>
      <c r="C188" s="531"/>
      <c r="D188" s="574" t="s">
        <v>129</v>
      </c>
      <c r="E188" s="532"/>
      <c r="F188" s="574" t="s">
        <v>129</v>
      </c>
      <c r="G188" s="586" t="s">
        <v>129</v>
      </c>
      <c r="H188" s="213"/>
      <c r="I188" s="213"/>
      <c r="J188" s="213"/>
      <c r="K188" s="213"/>
      <c r="L188" s="213"/>
      <c r="M188" s="213"/>
      <c r="N188" s="213"/>
    </row>
    <row r="189" spans="1:14" x14ac:dyDescent="0.25">
      <c r="A189" s="213"/>
      <c r="B189" s="531"/>
      <c r="C189" s="531"/>
      <c r="D189" s="574" t="s">
        <v>129</v>
      </c>
      <c r="E189" s="532"/>
      <c r="F189" s="574" t="s">
        <v>129</v>
      </c>
      <c r="G189" s="586" t="s">
        <v>129</v>
      </c>
      <c r="H189" s="213"/>
      <c r="I189" s="213"/>
      <c r="J189" s="213"/>
      <c r="K189" s="213"/>
      <c r="L189" s="213"/>
      <c r="M189" s="213"/>
      <c r="N189" s="213"/>
    </row>
    <row r="190" spans="1:14" x14ac:dyDescent="0.25">
      <c r="A190" s="213"/>
      <c r="B190" s="531"/>
      <c r="C190" s="531"/>
      <c r="D190" s="574" t="s">
        <v>129</v>
      </c>
      <c r="E190" s="532"/>
      <c r="F190" s="574" t="s">
        <v>129</v>
      </c>
      <c r="G190" s="586" t="s">
        <v>129</v>
      </c>
      <c r="H190" s="213"/>
      <c r="I190" s="213"/>
      <c r="J190" s="213"/>
      <c r="K190" s="213"/>
      <c r="L190" s="213"/>
      <c r="M190" s="213"/>
      <c r="N190" s="213"/>
    </row>
    <row r="191" spans="1:14" x14ac:dyDescent="0.25">
      <c r="A191" s="213"/>
      <c r="B191" s="531"/>
      <c r="C191" s="531"/>
      <c r="D191" s="574" t="s">
        <v>129</v>
      </c>
      <c r="E191" s="532"/>
      <c r="F191" s="574" t="s">
        <v>129</v>
      </c>
      <c r="G191" s="586" t="s">
        <v>129</v>
      </c>
      <c r="H191" s="213"/>
      <c r="I191" s="213"/>
      <c r="J191" s="213"/>
      <c r="K191" s="213"/>
      <c r="L191" s="213"/>
      <c r="M191" s="213"/>
      <c r="N191" s="213"/>
    </row>
    <row r="192" spans="1:14" x14ac:dyDescent="0.25">
      <c r="A192" s="213"/>
      <c r="B192" s="531"/>
      <c r="C192" s="531"/>
      <c r="D192" s="574" t="s">
        <v>129</v>
      </c>
      <c r="E192" s="532"/>
      <c r="F192" s="574" t="s">
        <v>129</v>
      </c>
      <c r="G192" s="586" t="s">
        <v>129</v>
      </c>
      <c r="H192" s="213"/>
      <c r="I192" s="213"/>
      <c r="J192" s="213"/>
      <c r="K192" s="213"/>
      <c r="L192" s="213"/>
      <c r="M192" s="213"/>
      <c r="N192" s="213"/>
    </row>
    <row r="193" spans="1:18" x14ac:dyDescent="0.25">
      <c r="A193" s="213"/>
      <c r="B193" s="531"/>
      <c r="C193" s="531"/>
      <c r="D193" s="574" t="s">
        <v>129</v>
      </c>
      <c r="E193" s="532"/>
      <c r="F193" s="574" t="s">
        <v>129</v>
      </c>
      <c r="G193" s="586" t="s">
        <v>129</v>
      </c>
      <c r="H193" s="213"/>
      <c r="I193" s="213"/>
      <c r="J193" s="213"/>
      <c r="K193" s="213"/>
      <c r="L193" s="213"/>
      <c r="M193" s="213"/>
      <c r="N193" s="213"/>
    </row>
    <row r="194" spans="1:18" x14ac:dyDescent="0.25">
      <c r="A194" s="213"/>
      <c r="B194" s="531"/>
      <c r="C194" s="531"/>
      <c r="D194" s="574" t="s">
        <v>129</v>
      </c>
      <c r="E194" s="532"/>
      <c r="F194" s="574" t="s">
        <v>129</v>
      </c>
      <c r="G194" s="586" t="s">
        <v>129</v>
      </c>
      <c r="H194" s="213"/>
      <c r="I194" s="213"/>
      <c r="J194" s="213"/>
      <c r="K194" s="213"/>
      <c r="L194" s="213"/>
      <c r="M194" s="213"/>
      <c r="N194" s="213"/>
    </row>
    <row r="195" spans="1:18" x14ac:dyDescent="0.25">
      <c r="A195" s="213"/>
      <c r="B195" s="531"/>
      <c r="C195" s="531"/>
      <c r="D195" s="574" t="s">
        <v>129</v>
      </c>
      <c r="E195" s="532"/>
      <c r="F195" s="574" t="s">
        <v>129</v>
      </c>
      <c r="G195" s="586" t="s">
        <v>129</v>
      </c>
      <c r="H195" s="213"/>
      <c r="I195" s="213"/>
      <c r="J195" s="213"/>
      <c r="K195" s="213"/>
      <c r="L195" s="213"/>
      <c r="M195" s="213"/>
      <c r="N195" s="213"/>
    </row>
    <row r="196" spans="1:18" ht="16.5" customHeight="1" x14ac:dyDescent="0.25">
      <c r="A196" s="213"/>
      <c r="B196" s="213"/>
      <c r="C196" s="213"/>
      <c r="D196" s="213"/>
      <c r="E196" s="213"/>
      <c r="F196" s="963" t="str">
        <f>IF(COUNTIF(F186:F195,"No")&gt;0,"No",IF(COUNTIF(F186:F195,"Yes")&gt;0,"Yes",""))</f>
        <v/>
      </c>
      <c r="G196" s="964" t="str">
        <f>IF(OR(COUNTIF(G186:G195,"no star")&gt;0,COUNTIF(G186:G195,"1 star")&gt;0),"less than 2 stars",IF(COUNTIF(G186:G195,"2 stars")&gt;0,"2 stars or more",IF(COUNTIF(G186:G195,"3 stars")&gt;0,"3 stars or more",IF(COUNTIF(G186:G195,"4 stars")&gt;0,"4 stars or more",IF(COUNTIF(G186:G195,"5 stars")&gt;0,"5 stars","")))))</f>
        <v/>
      </c>
      <c r="H196" s="213"/>
      <c r="I196" s="213"/>
      <c r="J196" s="213"/>
      <c r="K196" s="213"/>
      <c r="L196" s="213"/>
      <c r="M196" s="213"/>
      <c r="N196" s="213"/>
    </row>
    <row r="197" spans="1:18" s="42" customFormat="1" ht="15" customHeight="1" x14ac:dyDescent="0.25">
      <c r="A197" s="213"/>
      <c r="B197" s="213"/>
      <c r="C197" s="213"/>
      <c r="D197" s="213"/>
      <c r="E197" s="213"/>
      <c r="F197" s="213"/>
      <c r="G197" s="213"/>
      <c r="H197" s="213"/>
      <c r="I197" s="213"/>
      <c r="J197" s="213"/>
      <c r="K197" s="213"/>
      <c r="L197" s="213"/>
      <c r="M197" s="213"/>
      <c r="N197" s="213"/>
    </row>
    <row r="198" spans="1:18" s="42" customFormat="1" ht="18" customHeight="1" x14ac:dyDescent="0.25">
      <c r="A198" s="213"/>
      <c r="B198" s="1529" t="s">
        <v>188</v>
      </c>
      <c r="C198" s="1530"/>
      <c r="D198" s="1531"/>
      <c r="E198" s="250" t="str">
        <f>G196</f>
        <v/>
      </c>
      <c r="F198" s="213"/>
      <c r="G198" s="213"/>
      <c r="H198" s="213"/>
      <c r="I198" s="213"/>
      <c r="J198" s="213"/>
      <c r="K198" s="213"/>
      <c r="L198" s="213"/>
      <c r="M198" s="213"/>
      <c r="N198" s="213"/>
    </row>
    <row r="199" spans="1:18" s="42" customFormat="1" ht="18" customHeight="1" x14ac:dyDescent="0.25">
      <c r="A199" s="213"/>
      <c r="B199" s="1529" t="s">
        <v>803</v>
      </c>
      <c r="C199" s="1530"/>
      <c r="D199" s="1531"/>
      <c r="E199" s="250" t="str">
        <f>F196</f>
        <v/>
      </c>
      <c r="F199" s="213"/>
      <c r="G199" s="213"/>
      <c r="H199" s="213"/>
      <c r="I199" s="213"/>
      <c r="J199" s="213"/>
      <c r="K199" s="213"/>
      <c r="L199" s="213"/>
      <c r="M199" s="213"/>
      <c r="N199" s="213"/>
    </row>
    <row r="200" spans="1:18" s="42" customFormat="1" ht="17.25" customHeight="1" x14ac:dyDescent="0.25">
      <c r="A200" s="213"/>
      <c r="B200" s="213"/>
      <c r="C200" s="213"/>
      <c r="D200" s="213"/>
      <c r="E200" s="213"/>
      <c r="F200" s="213"/>
      <c r="G200" s="213"/>
      <c r="H200" s="213"/>
      <c r="I200" s="213"/>
      <c r="J200" s="213"/>
      <c r="K200" s="213"/>
      <c r="L200" s="213"/>
      <c r="M200" s="213"/>
      <c r="N200" s="213"/>
    </row>
    <row r="201" spans="1:18" s="42" customFormat="1" ht="16.5" customHeight="1" x14ac:dyDescent="0.25">
      <c r="A201" s="1410" t="s">
        <v>200</v>
      </c>
      <c r="B201" s="1410"/>
      <c r="C201" s="1410"/>
      <c r="D201" s="213"/>
      <c r="E201" s="213"/>
      <c r="F201" s="213"/>
      <c r="G201" s="213"/>
      <c r="H201" s="213"/>
      <c r="I201" s="213"/>
      <c r="J201" s="213"/>
      <c r="K201" s="213"/>
      <c r="L201" s="213"/>
      <c r="M201" s="213"/>
      <c r="N201" s="213"/>
      <c r="O201" s="252" t="s">
        <v>113</v>
      </c>
    </row>
    <row r="202" spans="1:18" s="42" customFormat="1" ht="12.75" customHeight="1" x14ac:dyDescent="0.25">
      <c r="A202" s="213"/>
      <c r="B202" s="213"/>
      <c r="C202" s="213"/>
      <c r="D202" s="213"/>
      <c r="E202" s="213"/>
      <c r="F202" s="213"/>
      <c r="G202" s="213"/>
      <c r="H202" s="213"/>
      <c r="I202" s="213"/>
      <c r="J202" s="213"/>
      <c r="K202" s="213"/>
      <c r="L202" s="213"/>
      <c r="M202" s="213"/>
      <c r="N202" s="213"/>
      <c r="O202" s="42" t="s">
        <v>129</v>
      </c>
      <c r="P202" t="s">
        <v>113</v>
      </c>
      <c r="Q202" t="s">
        <v>117</v>
      </c>
      <c r="R202" s="7" t="s">
        <v>112</v>
      </c>
    </row>
    <row r="203" spans="1:18" s="42" customFormat="1" ht="21" customHeight="1" thickBot="1" x14ac:dyDescent="0.3">
      <c r="A203" s="213"/>
      <c r="B203" s="1610" t="s">
        <v>2200</v>
      </c>
      <c r="C203" s="1611"/>
      <c r="D203" s="1611"/>
      <c r="E203" s="1611"/>
      <c r="F203" s="1611"/>
      <c r="G203" s="1045" t="s">
        <v>2101</v>
      </c>
      <c r="H203" s="1443" t="s">
        <v>2102</v>
      </c>
      <c r="I203" s="1444"/>
      <c r="J203" s="213"/>
      <c r="K203" s="213"/>
      <c r="L203" s="213"/>
      <c r="M203" s="213"/>
      <c r="N203" s="213"/>
      <c r="O203" s="252" t="s">
        <v>115</v>
      </c>
      <c r="P203" t="s">
        <v>115</v>
      </c>
      <c r="Q203" t="s">
        <v>126</v>
      </c>
      <c r="R203" s="34">
        <v>2.2999999999999998</v>
      </c>
    </row>
    <row r="204" spans="1:18" s="42" customFormat="1" ht="21" customHeight="1" thickBot="1" x14ac:dyDescent="0.3">
      <c r="A204" s="213"/>
      <c r="B204" s="1436" t="s">
        <v>1303</v>
      </c>
      <c r="C204" s="1437"/>
      <c r="D204" s="1437"/>
      <c r="E204" s="1437"/>
      <c r="F204" s="1438"/>
      <c r="G204" s="518" t="s">
        <v>129</v>
      </c>
      <c r="H204" s="1441"/>
      <c r="I204" s="1442"/>
      <c r="J204" s="213"/>
      <c r="K204" s="213"/>
      <c r="L204" s="213"/>
      <c r="M204" s="213"/>
      <c r="N204" s="213"/>
      <c r="O204" s="253" t="s">
        <v>116</v>
      </c>
      <c r="P204" s="30" t="s">
        <v>116</v>
      </c>
      <c r="Q204" t="s">
        <v>540</v>
      </c>
      <c r="R204" s="34">
        <v>2.6</v>
      </c>
    </row>
    <row r="205" spans="1:18" s="42" customFormat="1" ht="21" customHeight="1" thickBot="1" x14ac:dyDescent="0.3">
      <c r="A205" s="213"/>
      <c r="B205" s="1436" t="s">
        <v>1893</v>
      </c>
      <c r="C205" s="1437"/>
      <c r="D205" s="1437"/>
      <c r="E205" s="1437"/>
      <c r="F205" s="1438"/>
      <c r="G205" s="977" t="s">
        <v>129</v>
      </c>
      <c r="H205" s="1441"/>
      <c r="I205" s="1442"/>
      <c r="J205" s="213"/>
      <c r="K205" s="213"/>
      <c r="L205" s="213"/>
      <c r="M205" s="213"/>
      <c r="N205" s="213"/>
      <c r="O205" s="253" t="s">
        <v>1124</v>
      </c>
      <c r="P205" s="30"/>
      <c r="Q205" s="31" t="s">
        <v>1048</v>
      </c>
      <c r="R205" s="34">
        <v>2.5</v>
      </c>
    </row>
    <row r="206" spans="1:18" s="42" customFormat="1" ht="18" customHeight="1" thickBot="1" x14ac:dyDescent="0.3">
      <c r="A206" s="213"/>
      <c r="B206" s="1163" t="s">
        <v>1295</v>
      </c>
      <c r="C206" s="213"/>
      <c r="D206" s="213"/>
      <c r="E206" s="213"/>
      <c r="F206" s="213"/>
      <c r="G206" s="213"/>
      <c r="H206" s="213"/>
      <c r="I206" s="213"/>
      <c r="J206" s="213"/>
      <c r="K206" s="213"/>
      <c r="L206" s="213"/>
      <c r="M206" s="213"/>
      <c r="N206" s="213"/>
      <c r="O206" s="253" t="s">
        <v>1125</v>
      </c>
      <c r="P206" s="30"/>
      <c r="Q206" s="31" t="s">
        <v>538</v>
      </c>
      <c r="R206" s="34">
        <v>2.4</v>
      </c>
    </row>
    <row r="207" spans="1:18" s="42" customFormat="1" ht="21" customHeight="1" thickBot="1" x14ac:dyDescent="0.3">
      <c r="A207" s="213"/>
      <c r="B207" s="1610" t="s">
        <v>2201</v>
      </c>
      <c r="C207" s="1611"/>
      <c r="D207" s="1611"/>
      <c r="E207" s="1611"/>
      <c r="F207" s="1611"/>
      <c r="G207" s="1045" t="s">
        <v>2101</v>
      </c>
      <c r="H207" s="1443" t="s">
        <v>2102</v>
      </c>
      <c r="I207" s="1444"/>
      <c r="J207" s="213"/>
      <c r="K207" s="213"/>
      <c r="L207" s="213"/>
      <c r="M207" s="213"/>
      <c r="N207" s="213"/>
      <c r="O207" s="253"/>
      <c r="P207" s="30"/>
      <c r="Q207" s="31"/>
      <c r="R207" s="34"/>
    </row>
    <row r="208" spans="1:18" s="42" customFormat="1" ht="27" customHeight="1" thickBot="1" x14ac:dyDescent="0.3">
      <c r="A208" s="213"/>
      <c r="B208" s="1436" t="s">
        <v>1890</v>
      </c>
      <c r="C208" s="1437"/>
      <c r="D208" s="1437"/>
      <c r="E208" s="1437"/>
      <c r="F208" s="1438"/>
      <c r="G208" s="531" t="s">
        <v>129</v>
      </c>
      <c r="H208" s="1441"/>
      <c r="I208" s="1442"/>
      <c r="J208" s="213"/>
      <c r="K208" s="213"/>
      <c r="L208" s="213"/>
      <c r="M208" s="213"/>
      <c r="N208" s="213"/>
      <c r="P208" s="30" t="s">
        <v>123</v>
      </c>
      <c r="Q208" s="31" t="s">
        <v>539</v>
      </c>
      <c r="R208" s="33">
        <v>2.93</v>
      </c>
    </row>
    <row r="209" spans="1:22" s="42" customFormat="1" ht="24" customHeight="1" thickBot="1" x14ac:dyDescent="0.3">
      <c r="A209" s="213"/>
      <c r="B209" s="1436" t="s">
        <v>1893</v>
      </c>
      <c r="C209" s="1437"/>
      <c r="D209" s="1437"/>
      <c r="E209" s="1437"/>
      <c r="F209" s="1438"/>
      <c r="G209" s="977" t="s">
        <v>129</v>
      </c>
      <c r="H209" s="1441"/>
      <c r="I209" s="1442"/>
      <c r="J209" s="213"/>
      <c r="K209" s="213"/>
      <c r="L209" s="213"/>
      <c r="M209" s="213"/>
      <c r="N209" s="213"/>
      <c r="O209" s="253"/>
      <c r="P209" s="30"/>
      <c r="Q209" s="32" t="s">
        <v>124</v>
      </c>
      <c r="R209" s="34">
        <v>3.02</v>
      </c>
    </row>
    <row r="210" spans="1:22" s="42" customFormat="1" ht="15" customHeight="1" thickBot="1" x14ac:dyDescent="0.3">
      <c r="A210" s="213"/>
      <c r="B210" s="213"/>
      <c r="C210" s="213"/>
      <c r="D210" s="213"/>
      <c r="E210" s="213"/>
      <c r="F210" s="213"/>
      <c r="G210" s="213"/>
      <c r="H210" s="213"/>
      <c r="I210" s="213"/>
      <c r="J210" s="213"/>
      <c r="K210" s="213"/>
      <c r="L210" s="213"/>
      <c r="M210" s="213"/>
      <c r="N210" s="213"/>
      <c r="O210" s="30"/>
      <c r="P210" s="30"/>
      <c r="Q210" s="32" t="s">
        <v>125</v>
      </c>
      <c r="R210" s="34">
        <v>2.84</v>
      </c>
      <c r="S210"/>
    </row>
    <row r="211" spans="1:22" ht="16.5" customHeight="1" thickBot="1" x14ac:dyDescent="0.3">
      <c r="A211" s="1410" t="s">
        <v>25</v>
      </c>
      <c r="B211" s="1410"/>
      <c r="C211" s="1410"/>
      <c r="D211" s="213"/>
      <c r="E211" s="213"/>
      <c r="F211" s="213"/>
      <c r="G211" s="213"/>
      <c r="H211" s="213"/>
      <c r="I211" s="213"/>
      <c r="J211" s="213"/>
      <c r="K211" s="213"/>
      <c r="L211" s="213"/>
      <c r="M211" s="213"/>
      <c r="N211" s="213"/>
      <c r="O211" s="30"/>
      <c r="Q211" s="32" t="s">
        <v>2122</v>
      </c>
      <c r="R211" s="34">
        <v>2.78</v>
      </c>
    </row>
    <row r="212" spans="1:22" ht="14.25" customHeight="1" thickBot="1" x14ac:dyDescent="0.3">
      <c r="A212" s="213"/>
      <c r="B212" s="213"/>
      <c r="C212" s="213"/>
      <c r="D212" s="213"/>
      <c r="E212" s="213"/>
      <c r="F212" s="213"/>
      <c r="G212" s="213"/>
      <c r="H212" s="213"/>
      <c r="I212" s="213"/>
      <c r="J212" s="213"/>
      <c r="K212" s="213"/>
      <c r="L212" s="213"/>
      <c r="M212" s="213"/>
      <c r="N212" s="213"/>
      <c r="O212" s="30"/>
      <c r="P212" s="30"/>
      <c r="Q212" s="32" t="s">
        <v>2123</v>
      </c>
      <c r="R212" s="34">
        <v>2.7</v>
      </c>
    </row>
    <row r="213" spans="1:22" ht="18" customHeight="1" thickBot="1" x14ac:dyDescent="0.3">
      <c r="A213" s="213"/>
      <c r="B213" s="192" t="s">
        <v>56</v>
      </c>
      <c r="C213" s="1190">
        <f>IF(D171="Prescriptive Path",IF(E198="3 stars or more",1,IF(E198="4 stars or more",2,IF(E198="5 stars",3,0)))+IF(E199="Yes",1,0),"")</f>
        <v>0</v>
      </c>
      <c r="D213" s="213"/>
      <c r="E213" s="213"/>
      <c r="F213" s="213"/>
      <c r="G213" s="213"/>
      <c r="H213" s="213"/>
      <c r="I213" s="213"/>
      <c r="J213" s="213"/>
      <c r="K213" s="213"/>
      <c r="L213" s="213"/>
      <c r="M213" s="213"/>
      <c r="N213" s="213"/>
      <c r="P213" s="253" t="s">
        <v>1125</v>
      </c>
      <c r="Q213" s="35" t="s">
        <v>127</v>
      </c>
      <c r="R213" s="34">
        <v>3.35</v>
      </c>
    </row>
    <row r="214" spans="1:22" ht="18" customHeight="1" thickBot="1" x14ac:dyDescent="0.3">
      <c r="A214" s="213"/>
      <c r="B214" s="192" t="s">
        <v>521</v>
      </c>
      <c r="C214" s="1190" t="str">
        <f>IF(D171="Prescriptive Path",IF(E199="Yes",IF(AND(G204="Submitted",G205="Submitted",G208="Submitted",G209="Submitted",C213&gt;0),"Yes","No"),IF(AND(G208="Submitted",G209="Submitted",C213&gt;0),"Yes","No")),"")</f>
        <v>No</v>
      </c>
      <c r="D214" s="213"/>
      <c r="E214" s="213"/>
      <c r="F214" s="213"/>
      <c r="G214" s="213"/>
      <c r="H214" s="213"/>
      <c r="I214" s="213"/>
      <c r="J214" s="213"/>
      <c r="K214" s="213"/>
      <c r="L214" s="213"/>
      <c r="M214" s="213"/>
      <c r="N214" s="213"/>
      <c r="O214" s="30"/>
      <c r="Q214" s="37" t="s">
        <v>541</v>
      </c>
      <c r="R214" s="34">
        <v>3.37</v>
      </c>
    </row>
    <row r="215" spans="1:22" ht="21" customHeight="1" thickBot="1" x14ac:dyDescent="0.3">
      <c r="A215" s="213"/>
      <c r="B215" s="213"/>
      <c r="C215" s="213"/>
      <c r="D215" s="213"/>
      <c r="E215" s="213"/>
      <c r="F215" s="213"/>
      <c r="G215" s="213"/>
      <c r="H215" s="213"/>
      <c r="I215" s="213"/>
      <c r="J215" s="213"/>
      <c r="K215" s="213"/>
      <c r="L215" s="213"/>
      <c r="M215" s="213"/>
      <c r="N215" s="213"/>
      <c r="O215" s="30"/>
      <c r="Q215" s="32" t="s">
        <v>542</v>
      </c>
      <c r="R215" s="34">
        <v>3.32</v>
      </c>
    </row>
    <row r="216" spans="1:22" ht="18" customHeight="1" thickBot="1" x14ac:dyDescent="0.3">
      <c r="A216" s="1432" t="s">
        <v>551</v>
      </c>
      <c r="B216" s="1432"/>
      <c r="C216" s="1432"/>
      <c r="D216" s="1432"/>
      <c r="E216" s="1432"/>
      <c r="F216" s="1432"/>
      <c r="G216" s="1432"/>
      <c r="H216" s="1432"/>
      <c r="I216" s="1432"/>
      <c r="J216" s="1432"/>
      <c r="K216" s="1432"/>
      <c r="L216" s="1432"/>
      <c r="M216" s="1432"/>
      <c r="N216" s="1432"/>
      <c r="Q216" s="32" t="s">
        <v>128</v>
      </c>
      <c r="R216" s="36">
        <v>2.7</v>
      </c>
    </row>
    <row r="217" spans="1:22" x14ac:dyDescent="0.25">
      <c r="A217" s="429"/>
      <c r="B217" s="227"/>
      <c r="C217" s="227"/>
      <c r="D217" s="227"/>
      <c r="E217" s="227"/>
      <c r="F217" s="227"/>
      <c r="G217" s="227"/>
      <c r="H217" s="227"/>
      <c r="I217" s="227"/>
      <c r="J217" s="227"/>
      <c r="K217" s="227"/>
      <c r="L217" s="227"/>
      <c r="M217" s="227"/>
      <c r="N217" s="227"/>
      <c r="V217" s="4"/>
    </row>
    <row r="218" spans="1:22" ht="16.5" customHeight="1" x14ac:dyDescent="0.25">
      <c r="A218" s="1410" t="s">
        <v>265</v>
      </c>
      <c r="B218" s="1410"/>
      <c r="C218" s="1410"/>
      <c r="D218" s="227"/>
      <c r="E218" s="227"/>
      <c r="F218" s="227"/>
      <c r="G218" s="227"/>
      <c r="H218" s="227"/>
      <c r="I218" s="227"/>
      <c r="J218" s="227"/>
      <c r="K218" s="227"/>
      <c r="L218" s="227"/>
      <c r="M218" s="227"/>
      <c r="N218" s="227"/>
    </row>
    <row r="219" spans="1:22" x14ac:dyDescent="0.25">
      <c r="A219" s="227"/>
      <c r="B219" s="227"/>
      <c r="C219" s="227"/>
      <c r="D219" s="227"/>
      <c r="E219" s="227"/>
      <c r="F219" s="227"/>
      <c r="G219" s="227"/>
      <c r="H219" s="227"/>
      <c r="I219" s="227"/>
      <c r="J219" s="227"/>
      <c r="K219" s="227"/>
      <c r="L219" s="227"/>
      <c r="M219" s="227"/>
      <c r="N219" s="227"/>
    </row>
    <row r="220" spans="1:22" ht="25.5" customHeight="1" x14ac:dyDescent="0.25">
      <c r="A220" s="227"/>
      <c r="B220" s="1615" t="s">
        <v>2197</v>
      </c>
      <c r="C220" s="1616"/>
      <c r="D220" s="1616"/>
      <c r="E220" s="1616"/>
      <c r="F220" s="1616"/>
      <c r="G220" s="1616"/>
      <c r="H220" s="1616"/>
      <c r="I220" s="1616"/>
      <c r="J220" s="1616"/>
      <c r="K220" s="1617"/>
      <c r="L220" s="227"/>
      <c r="M220" s="227"/>
      <c r="N220" s="227"/>
    </row>
    <row r="221" spans="1:22" x14ac:dyDescent="0.25">
      <c r="A221" s="227"/>
      <c r="B221" s="1162" t="s">
        <v>1295</v>
      </c>
      <c r="C221" s="699"/>
      <c r="D221" s="699"/>
      <c r="E221" s="699"/>
      <c r="F221" s="699"/>
      <c r="G221" s="699"/>
      <c r="H221" s="699"/>
      <c r="I221" s="699"/>
      <c r="J221" s="699"/>
      <c r="K221" s="1161"/>
      <c r="L221" s="227"/>
      <c r="M221" s="227"/>
      <c r="N221" s="227"/>
    </row>
    <row r="222" spans="1:22" ht="25.5" customHeight="1" x14ac:dyDescent="0.25">
      <c r="A222" s="227"/>
      <c r="B222" s="1618" t="s">
        <v>2199</v>
      </c>
      <c r="C222" s="1619"/>
      <c r="D222" s="1619"/>
      <c r="E222" s="1619"/>
      <c r="F222" s="1619"/>
      <c r="G222" s="1619"/>
      <c r="H222" s="1619"/>
      <c r="I222" s="1619"/>
      <c r="J222" s="1619"/>
      <c r="K222" s="1620"/>
      <c r="L222" s="227"/>
      <c r="M222" s="227"/>
      <c r="N222" s="227"/>
    </row>
    <row r="223" spans="1:22" x14ac:dyDescent="0.25">
      <c r="A223" s="227"/>
      <c r="B223" s="227"/>
      <c r="C223" s="227"/>
      <c r="D223" s="227"/>
      <c r="E223" s="227"/>
      <c r="F223" s="227"/>
      <c r="G223" s="227"/>
      <c r="H223" s="227"/>
      <c r="I223" s="227"/>
      <c r="J223" s="227"/>
      <c r="K223" s="227"/>
      <c r="L223" s="227"/>
      <c r="M223" s="227"/>
      <c r="N223" s="227"/>
    </row>
    <row r="224" spans="1:22" x14ac:dyDescent="0.25">
      <c r="A224" s="227"/>
      <c r="B224" s="1543" t="s">
        <v>1845</v>
      </c>
      <c r="C224" s="1543"/>
      <c r="D224" s="1543"/>
      <c r="E224" s="1543"/>
      <c r="F224" s="1543"/>
      <c r="G224" s="227"/>
      <c r="H224" s="227"/>
      <c r="I224" s="227"/>
      <c r="J224" s="227"/>
      <c r="K224" s="227"/>
      <c r="L224" s="227"/>
      <c r="M224" s="227"/>
      <c r="N224" s="227"/>
    </row>
    <row r="225" spans="1:14" x14ac:dyDescent="0.25">
      <c r="A225" s="227"/>
      <c r="B225" s="1600" t="s">
        <v>382</v>
      </c>
      <c r="C225" s="1553" t="s">
        <v>1034</v>
      </c>
      <c r="D225" s="1553"/>
      <c r="E225" s="1553" t="s">
        <v>388</v>
      </c>
      <c r="F225" s="1553" t="s">
        <v>1035</v>
      </c>
      <c r="G225" s="227"/>
      <c r="H225" s="227"/>
      <c r="I225" s="227"/>
      <c r="J225" s="227"/>
      <c r="K225" s="227"/>
      <c r="L225" s="227"/>
      <c r="M225" s="227"/>
      <c r="N225" s="227"/>
    </row>
    <row r="226" spans="1:14" x14ac:dyDescent="0.25">
      <c r="A226" s="227"/>
      <c r="B226" s="1601"/>
      <c r="C226" s="1553"/>
      <c r="D226" s="1553"/>
      <c r="E226" s="1554"/>
      <c r="F226" s="1602"/>
      <c r="G226" s="227"/>
      <c r="H226" s="227"/>
      <c r="I226" s="227"/>
      <c r="J226" s="227"/>
      <c r="K226" s="227"/>
      <c r="L226" s="227"/>
      <c r="M226" s="227"/>
      <c r="N226" s="227"/>
    </row>
    <row r="227" spans="1:14" ht="25.5" x14ac:dyDescent="0.25">
      <c r="A227" s="227"/>
      <c r="B227" s="534" t="s">
        <v>115</v>
      </c>
      <c r="C227" s="1518" t="s">
        <v>1036</v>
      </c>
      <c r="D227" s="1518"/>
      <c r="E227" s="537">
        <v>2.2999999999999998</v>
      </c>
      <c r="F227" s="1518" t="s">
        <v>1044</v>
      </c>
      <c r="G227" s="227"/>
      <c r="H227" s="227"/>
      <c r="I227" s="227"/>
      <c r="J227" s="227"/>
      <c r="K227" s="227"/>
      <c r="L227" s="227"/>
      <c r="M227" s="227"/>
      <c r="N227" s="227"/>
    </row>
    <row r="228" spans="1:14" x14ac:dyDescent="0.25">
      <c r="A228" s="227"/>
      <c r="B228" s="1603" t="s">
        <v>116</v>
      </c>
      <c r="C228" s="1518" t="s">
        <v>1037</v>
      </c>
      <c r="D228" s="1518"/>
      <c r="E228" s="537">
        <v>2.6</v>
      </c>
      <c r="F228" s="1518"/>
      <c r="G228" s="227"/>
      <c r="H228" s="227"/>
      <c r="I228" s="227"/>
      <c r="J228" s="227"/>
      <c r="K228" s="227"/>
      <c r="L228" s="227"/>
      <c r="M228" s="227"/>
      <c r="N228" s="227"/>
    </row>
    <row r="229" spans="1:14" ht="15" customHeight="1" x14ac:dyDescent="0.25">
      <c r="A229" s="227"/>
      <c r="B229" s="1603"/>
      <c r="C229" s="1533" t="s">
        <v>1038</v>
      </c>
      <c r="D229" s="1533"/>
      <c r="E229" s="537">
        <v>2.5</v>
      </c>
      <c r="F229" s="1518"/>
      <c r="G229" s="227"/>
      <c r="H229" s="227"/>
      <c r="I229" s="227"/>
      <c r="J229" s="227"/>
      <c r="K229" s="227"/>
      <c r="L229" s="227"/>
      <c r="M229" s="227"/>
      <c r="N229" s="227"/>
    </row>
    <row r="230" spans="1:14" ht="15" customHeight="1" x14ac:dyDescent="0.25">
      <c r="A230" s="227"/>
      <c r="B230" s="1603"/>
      <c r="C230" s="1533" t="s">
        <v>1039</v>
      </c>
      <c r="D230" s="1533"/>
      <c r="E230" s="537">
        <v>2.4</v>
      </c>
      <c r="F230" s="1518"/>
      <c r="G230" s="227"/>
      <c r="H230" s="227"/>
      <c r="I230" s="227"/>
      <c r="J230" s="227"/>
      <c r="K230" s="227"/>
      <c r="L230" s="227"/>
      <c r="M230" s="227"/>
      <c r="N230" s="227"/>
    </row>
    <row r="231" spans="1:14" ht="15" customHeight="1" x14ac:dyDescent="0.25">
      <c r="A231" s="227"/>
      <c r="B231" s="1550" t="s">
        <v>1045</v>
      </c>
      <c r="C231" s="1533" t="s">
        <v>1040</v>
      </c>
      <c r="D231" s="1533"/>
      <c r="E231" s="1518">
        <v>2.93</v>
      </c>
      <c r="F231" s="1555" t="s">
        <v>1047</v>
      </c>
      <c r="G231" s="227"/>
      <c r="H231" s="227"/>
      <c r="I231" s="227"/>
      <c r="J231" s="227"/>
      <c r="K231" s="227"/>
      <c r="L231" s="227"/>
      <c r="M231" s="227"/>
      <c r="N231" s="227"/>
    </row>
    <row r="232" spans="1:14" x14ac:dyDescent="0.25">
      <c r="A232" s="227"/>
      <c r="B232" s="1551"/>
      <c r="C232" s="1533"/>
      <c r="D232" s="1533"/>
      <c r="E232" s="1518"/>
      <c r="F232" s="1556"/>
      <c r="G232" s="227"/>
      <c r="H232" s="227"/>
      <c r="I232" s="227"/>
      <c r="J232" s="227"/>
      <c r="K232" s="227"/>
      <c r="L232" s="227"/>
      <c r="M232" s="227"/>
      <c r="N232" s="227"/>
    </row>
    <row r="233" spans="1:14" x14ac:dyDescent="0.25">
      <c r="A233" s="227"/>
      <c r="B233" s="1551"/>
      <c r="C233" s="1533" t="s">
        <v>124</v>
      </c>
      <c r="D233" s="1533"/>
      <c r="E233" s="537">
        <v>3.02</v>
      </c>
      <c r="F233" s="1555" t="s">
        <v>1041</v>
      </c>
      <c r="G233" s="227"/>
      <c r="H233" s="227"/>
      <c r="I233" s="227"/>
      <c r="J233" s="227"/>
      <c r="K233" s="227"/>
      <c r="L233" s="227"/>
      <c r="M233" s="227"/>
      <c r="N233" s="227"/>
    </row>
    <row r="234" spans="1:14" x14ac:dyDescent="0.25">
      <c r="A234" s="227"/>
      <c r="B234" s="1551"/>
      <c r="C234" s="1533" t="s">
        <v>125</v>
      </c>
      <c r="D234" s="1533"/>
      <c r="E234" s="537">
        <v>2.84</v>
      </c>
      <c r="F234" s="1557"/>
      <c r="G234" s="227"/>
      <c r="H234" s="227"/>
      <c r="I234" s="227"/>
      <c r="J234" s="227"/>
      <c r="K234" s="227"/>
      <c r="L234" s="227"/>
      <c r="M234" s="227"/>
      <c r="N234" s="227"/>
    </row>
    <row r="235" spans="1:14" x14ac:dyDescent="0.25">
      <c r="A235" s="227"/>
      <c r="B235" s="1551"/>
      <c r="C235" s="1533" t="s">
        <v>2122</v>
      </c>
      <c r="D235" s="1533"/>
      <c r="E235" s="537">
        <v>2.78</v>
      </c>
      <c r="F235" s="1557"/>
      <c r="G235" s="227"/>
      <c r="H235" s="227"/>
      <c r="I235" s="227"/>
      <c r="J235" s="227"/>
      <c r="K235" s="227"/>
      <c r="L235" s="227"/>
      <c r="M235" s="227"/>
      <c r="N235" s="227"/>
    </row>
    <row r="236" spans="1:14" x14ac:dyDescent="0.25">
      <c r="A236" s="227"/>
      <c r="B236" s="1552"/>
      <c r="C236" s="1533" t="s">
        <v>2123</v>
      </c>
      <c r="D236" s="1533"/>
      <c r="E236" s="537">
        <v>2.7</v>
      </c>
      <c r="F236" s="1556"/>
      <c r="G236" s="227"/>
      <c r="H236" s="227"/>
      <c r="I236" s="227"/>
      <c r="J236" s="227"/>
      <c r="K236" s="227"/>
      <c r="L236" s="227"/>
      <c r="M236" s="227"/>
      <c r="N236" s="227"/>
    </row>
    <row r="237" spans="1:14" ht="25.5" customHeight="1" x14ac:dyDescent="0.25">
      <c r="A237" s="227"/>
      <c r="B237" s="1550" t="s">
        <v>1046</v>
      </c>
      <c r="C237" s="1518" t="s">
        <v>127</v>
      </c>
      <c r="D237" s="1518"/>
      <c r="E237" s="537">
        <v>3.35</v>
      </c>
      <c r="F237" s="537" t="s">
        <v>1042</v>
      </c>
      <c r="G237" s="227"/>
      <c r="H237" s="227"/>
      <c r="I237" s="227"/>
      <c r="J237" s="227"/>
      <c r="K237" s="227"/>
      <c r="L237" s="227"/>
      <c r="M237" s="227"/>
      <c r="N237" s="227"/>
    </row>
    <row r="238" spans="1:14" ht="25.5" customHeight="1" x14ac:dyDescent="0.25">
      <c r="A238" s="227"/>
      <c r="B238" s="1551"/>
      <c r="C238" s="1533" t="s">
        <v>124</v>
      </c>
      <c r="D238" s="1533"/>
      <c r="E238" s="537">
        <v>3.37</v>
      </c>
      <c r="F238" s="1555" t="s">
        <v>1041</v>
      </c>
      <c r="G238" s="227"/>
      <c r="H238" s="227"/>
      <c r="I238" s="227"/>
      <c r="J238" s="227"/>
      <c r="K238" s="227"/>
      <c r="L238" s="227"/>
      <c r="M238" s="227"/>
      <c r="N238" s="227"/>
    </row>
    <row r="239" spans="1:14" x14ac:dyDescent="0.25">
      <c r="A239" s="227"/>
      <c r="B239" s="1551"/>
      <c r="C239" s="1533" t="s">
        <v>125</v>
      </c>
      <c r="D239" s="1533"/>
      <c r="E239" s="537">
        <v>3.32</v>
      </c>
      <c r="F239" s="1557"/>
      <c r="G239" s="227"/>
      <c r="H239" s="227"/>
      <c r="I239" s="227"/>
      <c r="J239" s="227"/>
      <c r="K239" s="227"/>
      <c r="L239" s="227"/>
      <c r="M239" s="227"/>
      <c r="N239" s="227"/>
    </row>
    <row r="240" spans="1:14" x14ac:dyDescent="0.25">
      <c r="A240" s="227"/>
      <c r="B240" s="1552"/>
      <c r="C240" s="1533" t="s">
        <v>1043</v>
      </c>
      <c r="D240" s="1533"/>
      <c r="E240" s="537">
        <v>2.7</v>
      </c>
      <c r="F240" s="1556"/>
      <c r="G240" s="227"/>
      <c r="H240" s="227"/>
      <c r="I240" s="227"/>
      <c r="J240" s="227"/>
      <c r="K240" s="227"/>
      <c r="L240" s="227"/>
      <c r="M240" s="227"/>
      <c r="N240" s="227"/>
    </row>
    <row r="241" spans="1:22" ht="16.5" customHeight="1" x14ac:dyDescent="0.25">
      <c r="A241" s="227"/>
      <c r="B241" s="227"/>
      <c r="C241" s="227"/>
      <c r="D241" s="227"/>
      <c r="E241" s="227"/>
      <c r="F241" s="227"/>
      <c r="G241" s="227"/>
      <c r="H241" s="227"/>
      <c r="I241" s="227"/>
      <c r="J241" s="227"/>
      <c r="K241" s="227"/>
      <c r="L241" s="227"/>
      <c r="M241" s="227"/>
      <c r="N241" s="227"/>
    </row>
    <row r="242" spans="1:22" ht="16.5" customHeight="1" x14ac:dyDescent="0.25">
      <c r="A242" s="1410" t="s">
        <v>26</v>
      </c>
      <c r="B242" s="1410"/>
      <c r="C242" s="1410"/>
      <c r="D242" s="227"/>
      <c r="E242" s="227"/>
      <c r="F242" s="227"/>
      <c r="G242" s="227"/>
      <c r="H242" s="227"/>
      <c r="I242" s="227"/>
      <c r="J242" s="227"/>
      <c r="K242" s="227"/>
      <c r="L242" s="227"/>
      <c r="M242" s="227"/>
      <c r="N242" s="227"/>
    </row>
    <row r="243" spans="1:22" x14ac:dyDescent="0.25">
      <c r="A243" s="227"/>
      <c r="B243" s="227"/>
      <c r="C243" s="227"/>
      <c r="D243" s="227"/>
      <c r="E243" s="227"/>
      <c r="F243" s="227"/>
      <c r="G243" s="227"/>
      <c r="H243" s="227"/>
      <c r="I243" s="227"/>
      <c r="J243" s="227"/>
      <c r="K243" s="227"/>
      <c r="L243" s="227"/>
      <c r="M243" s="227"/>
      <c r="N243" s="227"/>
      <c r="V243" s="4"/>
    </row>
    <row r="244" spans="1:22" x14ac:dyDescent="0.25">
      <c r="A244" s="227"/>
      <c r="B244" s="706" t="s">
        <v>1329</v>
      </c>
      <c r="C244" s="227"/>
      <c r="D244" s="227"/>
      <c r="E244" s="227"/>
      <c r="F244" s="227"/>
      <c r="G244" s="227"/>
      <c r="H244" s="227"/>
      <c r="I244" s="227"/>
      <c r="J244" s="227"/>
      <c r="K244" s="227"/>
      <c r="L244" s="227"/>
      <c r="M244" s="227"/>
      <c r="N244" s="227"/>
      <c r="V244" s="4"/>
    </row>
    <row r="245" spans="1:22" ht="9" customHeight="1" x14ac:dyDescent="0.25">
      <c r="A245" s="227"/>
      <c r="B245" s="214"/>
      <c r="C245" s="227"/>
      <c r="D245" s="227"/>
      <c r="E245" s="227"/>
      <c r="F245" s="227"/>
      <c r="G245" s="227"/>
      <c r="H245" s="227"/>
      <c r="I245" s="227"/>
      <c r="J245" s="227"/>
      <c r="K245" s="227"/>
      <c r="L245" s="227"/>
      <c r="M245" s="227"/>
      <c r="N245" s="227"/>
      <c r="V245" s="4"/>
    </row>
    <row r="246" spans="1:22" ht="28.5" customHeight="1" x14ac:dyDescent="0.25">
      <c r="A246" s="227"/>
      <c r="B246" s="405" t="s">
        <v>121</v>
      </c>
      <c r="C246" s="406" t="s">
        <v>120</v>
      </c>
      <c r="D246" s="430" t="s">
        <v>114</v>
      </c>
      <c r="E246" s="430" t="s">
        <v>29</v>
      </c>
      <c r="F246" s="406" t="s">
        <v>189</v>
      </c>
      <c r="G246" s="406" t="s">
        <v>122</v>
      </c>
      <c r="H246" s="406" t="s">
        <v>543</v>
      </c>
      <c r="I246" s="430" t="s">
        <v>190</v>
      </c>
      <c r="J246" s="406" t="s">
        <v>112</v>
      </c>
      <c r="K246" s="227"/>
      <c r="L246" s="227"/>
      <c r="M246" s="227"/>
      <c r="N246" s="227"/>
      <c r="R246" t="s">
        <v>117</v>
      </c>
      <c r="S246" s="7" t="s">
        <v>112</v>
      </c>
    </row>
    <row r="247" spans="1:22" ht="21" customHeight="1" x14ac:dyDescent="0.25">
      <c r="A247" s="227"/>
      <c r="B247" s="538"/>
      <c r="C247" s="538"/>
      <c r="D247" s="574" t="s">
        <v>129</v>
      </c>
      <c r="E247" s="533"/>
      <c r="F247" s="574" t="s">
        <v>129</v>
      </c>
      <c r="G247" s="538"/>
      <c r="H247" s="538"/>
      <c r="I247" s="545" t="str">
        <f>IF(K247&lt;&gt;"","",IFERROR(IF(AND(B247&lt;&gt;"",G247&lt;&gt;"",H247&lt;&gt;""),H247/G247,""),""))</f>
        <v/>
      </c>
      <c r="J247" s="546" t="str">
        <f t="shared" ref="J247:J256" si="6">S247</f>
        <v/>
      </c>
      <c r="K247" s="1527" t="str">
        <f t="shared" ref="K247:K256" si="7">IF(R247="N/A",IF(D247="split air-conditioner","","Unit type shouldn't be split air-conditioner"),"")</f>
        <v/>
      </c>
      <c r="L247" s="1528"/>
      <c r="M247" s="1528"/>
      <c r="N247" s="1528"/>
      <c r="R247" t="str">
        <f>IF(D247="Select","",IF(D247=$P$203,$Q$203,IF(D247=$P$204,IF(H247&lt;4.5,$Q$204,IF(H247&lt;7,$Q$205,IF(H247&lt;14,$Q$206,"N/A"))),IF(D247=$P$208,IF(H247&lt;14,"N/A",IF(H247&lt;19,$Q$208,IF(H247&lt;40,$Q$209,IF(H247&lt;70,$Q$210,IF(H247&lt;117,Q211,$Q$212))))),IF(D247=$P$213,IF(H247&lt;19,$Q$213,IF(H247&lt;40,$Q$214,IF(H247&lt;70,$Q$215,$Q$216))))))))</f>
        <v/>
      </c>
      <c r="S247" t="str">
        <f t="shared" ref="S247:S257" si="8">IFERROR(VLOOKUP(R247,$Q$202:$R$216,2,FALSE),"")</f>
        <v/>
      </c>
    </row>
    <row r="248" spans="1:22" ht="21" customHeight="1" x14ac:dyDescent="0.25">
      <c r="A248" s="227"/>
      <c r="B248" s="531"/>
      <c r="C248" s="531"/>
      <c r="D248" s="574" t="s">
        <v>129</v>
      </c>
      <c r="E248" s="532"/>
      <c r="F248" s="574" t="s">
        <v>129</v>
      </c>
      <c r="G248" s="531"/>
      <c r="H248" s="531"/>
      <c r="I248" s="545" t="str">
        <f t="shared" ref="I248:I256" si="9">IF(M248&lt;&gt;"","",IFERROR(IF(AND(B248&lt;&gt;"",G248&lt;&gt;"",H248&lt;&gt;""),H248/G248,""),""))</f>
        <v/>
      </c>
      <c r="J248" s="545" t="str">
        <f t="shared" si="6"/>
        <v/>
      </c>
      <c r="K248" s="1527" t="str">
        <f t="shared" si="7"/>
        <v/>
      </c>
      <c r="L248" s="1528"/>
      <c r="M248" s="1528"/>
      <c r="N248" s="1528"/>
      <c r="R248" t="str">
        <f t="shared" ref="R248:R256" si="10">IF(D248="Select","",IF(D248=$P$203,$Q$203,IF(D248=$P$204,IF(H248&lt;4.5,$Q$204,IF(H248&lt;7,$Q$205,IF(H248&lt;14,$Q$206,"N/A"))),IF(D248=$P$208,IF(H248&lt;14,"N/A",IF(H248&lt;19,$Q$208,IF(H248&lt;40,$Q$209,IF(H248&lt;70,$Q$210,IF(H248&lt;117,Q212,$Q$212))))),IF(D248=$P$213,IF(H248&lt;19,$Q$213,IF(H248&lt;40,$Q$214,IF(H248&lt;70,$Q$215,$Q$216))))))))</f>
        <v/>
      </c>
      <c r="S248" t="str">
        <f t="shared" si="8"/>
        <v/>
      </c>
    </row>
    <row r="249" spans="1:22" ht="21" customHeight="1" x14ac:dyDescent="0.25">
      <c r="A249" s="227"/>
      <c r="B249" s="531"/>
      <c r="C249" s="531"/>
      <c r="D249" s="574" t="s">
        <v>129</v>
      </c>
      <c r="E249" s="532"/>
      <c r="F249" s="574" t="s">
        <v>129</v>
      </c>
      <c r="G249" s="531"/>
      <c r="H249" s="531"/>
      <c r="I249" s="545" t="str">
        <f t="shared" si="9"/>
        <v/>
      </c>
      <c r="J249" s="545" t="str">
        <f t="shared" si="6"/>
        <v/>
      </c>
      <c r="K249" s="1527" t="str">
        <f t="shared" si="7"/>
        <v/>
      </c>
      <c r="L249" s="1528"/>
      <c r="M249" s="1528"/>
      <c r="N249" s="1528"/>
      <c r="R249" t="str">
        <f t="shared" si="10"/>
        <v/>
      </c>
      <c r="S249" t="str">
        <f t="shared" si="8"/>
        <v/>
      </c>
    </row>
    <row r="250" spans="1:22" ht="21" customHeight="1" x14ac:dyDescent="0.25">
      <c r="A250" s="227"/>
      <c r="B250" s="531"/>
      <c r="C250" s="531"/>
      <c r="D250" s="538" t="s">
        <v>129</v>
      </c>
      <c r="E250" s="532"/>
      <c r="F250" s="574" t="s">
        <v>129</v>
      </c>
      <c r="G250" s="531"/>
      <c r="H250" s="531"/>
      <c r="I250" s="545" t="str">
        <f t="shared" si="9"/>
        <v/>
      </c>
      <c r="J250" s="545" t="str">
        <f t="shared" si="6"/>
        <v/>
      </c>
      <c r="K250" s="1527" t="str">
        <f t="shared" si="7"/>
        <v/>
      </c>
      <c r="L250" s="1528"/>
      <c r="M250" s="1528"/>
      <c r="N250" s="1528"/>
      <c r="R250" t="str">
        <f t="shared" si="10"/>
        <v/>
      </c>
      <c r="S250" t="str">
        <f t="shared" si="8"/>
        <v/>
      </c>
    </row>
    <row r="251" spans="1:22" ht="21" customHeight="1" x14ac:dyDescent="0.25">
      <c r="A251" s="227"/>
      <c r="B251" s="531"/>
      <c r="C251" s="531"/>
      <c r="D251" s="538" t="s">
        <v>129</v>
      </c>
      <c r="E251" s="532"/>
      <c r="F251" s="574" t="s">
        <v>129</v>
      </c>
      <c r="G251" s="531"/>
      <c r="H251" s="531"/>
      <c r="I251" s="545" t="str">
        <f t="shared" si="9"/>
        <v/>
      </c>
      <c r="J251" s="545" t="str">
        <f t="shared" si="6"/>
        <v/>
      </c>
      <c r="K251" s="1527" t="str">
        <f t="shared" si="7"/>
        <v/>
      </c>
      <c r="L251" s="1528"/>
      <c r="M251" s="1528"/>
      <c r="N251" s="1528"/>
      <c r="R251" t="str">
        <f t="shared" si="10"/>
        <v/>
      </c>
      <c r="S251" t="str">
        <f t="shared" si="8"/>
        <v/>
      </c>
    </row>
    <row r="252" spans="1:22" ht="21" customHeight="1" x14ac:dyDescent="0.25">
      <c r="A252" s="227"/>
      <c r="B252" s="531"/>
      <c r="C252" s="531"/>
      <c r="D252" s="538" t="s">
        <v>129</v>
      </c>
      <c r="E252" s="532"/>
      <c r="F252" s="574" t="s">
        <v>129</v>
      </c>
      <c r="G252" s="531"/>
      <c r="H252" s="531"/>
      <c r="I252" s="545" t="str">
        <f t="shared" si="9"/>
        <v/>
      </c>
      <c r="J252" s="545" t="str">
        <f t="shared" si="6"/>
        <v/>
      </c>
      <c r="K252" s="1527" t="str">
        <f t="shared" si="7"/>
        <v/>
      </c>
      <c r="L252" s="1528"/>
      <c r="M252" s="1528"/>
      <c r="N252" s="1528"/>
      <c r="R252" t="str">
        <f t="shared" si="10"/>
        <v/>
      </c>
      <c r="S252" t="str">
        <f t="shared" si="8"/>
        <v/>
      </c>
    </row>
    <row r="253" spans="1:22" ht="21" customHeight="1" x14ac:dyDescent="0.25">
      <c r="A253" s="227"/>
      <c r="B253" s="531"/>
      <c r="C253" s="531"/>
      <c r="D253" s="538" t="s">
        <v>129</v>
      </c>
      <c r="E253" s="532"/>
      <c r="F253" s="574" t="s">
        <v>129</v>
      </c>
      <c r="G253" s="531"/>
      <c r="H253" s="531"/>
      <c r="I253" s="545" t="str">
        <f t="shared" si="9"/>
        <v/>
      </c>
      <c r="J253" s="545" t="str">
        <f t="shared" si="6"/>
        <v/>
      </c>
      <c r="K253" s="1527" t="str">
        <f t="shared" si="7"/>
        <v/>
      </c>
      <c r="L253" s="1528"/>
      <c r="M253" s="1528"/>
      <c r="N253" s="1528"/>
      <c r="R253" t="str">
        <f t="shared" si="10"/>
        <v/>
      </c>
      <c r="S253" t="str">
        <f t="shared" si="8"/>
        <v/>
      </c>
    </row>
    <row r="254" spans="1:22" ht="21" customHeight="1" x14ac:dyDescent="0.25">
      <c r="A254" s="227"/>
      <c r="B254" s="531"/>
      <c r="C254" s="531"/>
      <c r="D254" s="538" t="s">
        <v>129</v>
      </c>
      <c r="E254" s="532"/>
      <c r="F254" s="574" t="s">
        <v>129</v>
      </c>
      <c r="G254" s="531"/>
      <c r="H254" s="531"/>
      <c r="I254" s="545" t="str">
        <f t="shared" si="9"/>
        <v/>
      </c>
      <c r="J254" s="545" t="str">
        <f t="shared" si="6"/>
        <v/>
      </c>
      <c r="K254" s="1527" t="str">
        <f t="shared" si="7"/>
        <v/>
      </c>
      <c r="L254" s="1528"/>
      <c r="M254" s="1528"/>
      <c r="N254" s="1528"/>
      <c r="R254" t="str">
        <f t="shared" si="10"/>
        <v/>
      </c>
      <c r="S254" t="str">
        <f t="shared" si="8"/>
        <v/>
      </c>
    </row>
    <row r="255" spans="1:22" ht="21" customHeight="1" x14ac:dyDescent="0.25">
      <c r="A255" s="227"/>
      <c r="B255" s="531"/>
      <c r="C255" s="531"/>
      <c r="D255" s="538" t="s">
        <v>129</v>
      </c>
      <c r="E255" s="532"/>
      <c r="F255" s="574" t="s">
        <v>129</v>
      </c>
      <c r="G255" s="531"/>
      <c r="H255" s="531"/>
      <c r="I255" s="545" t="str">
        <f t="shared" si="9"/>
        <v/>
      </c>
      <c r="J255" s="545" t="str">
        <f t="shared" si="6"/>
        <v/>
      </c>
      <c r="K255" s="1527" t="str">
        <f t="shared" si="7"/>
        <v/>
      </c>
      <c r="L255" s="1528"/>
      <c r="M255" s="1528"/>
      <c r="N255" s="1528"/>
      <c r="R255" t="str">
        <f t="shared" si="10"/>
        <v/>
      </c>
      <c r="S255" t="str">
        <f t="shared" si="8"/>
        <v/>
      </c>
    </row>
    <row r="256" spans="1:22" ht="21" customHeight="1" x14ac:dyDescent="0.25">
      <c r="A256" s="227"/>
      <c r="B256" s="531"/>
      <c r="C256" s="531"/>
      <c r="D256" s="538" t="s">
        <v>129</v>
      </c>
      <c r="E256" s="532"/>
      <c r="F256" s="574" t="s">
        <v>129</v>
      </c>
      <c r="G256" s="531"/>
      <c r="H256" s="531"/>
      <c r="I256" s="545" t="str">
        <f t="shared" si="9"/>
        <v/>
      </c>
      <c r="J256" s="545" t="str">
        <f t="shared" si="6"/>
        <v/>
      </c>
      <c r="K256" s="1527" t="str">
        <f t="shared" si="7"/>
        <v/>
      </c>
      <c r="L256" s="1528"/>
      <c r="M256" s="1528"/>
      <c r="N256" s="1528"/>
      <c r="R256" t="str">
        <f t="shared" si="10"/>
        <v/>
      </c>
      <c r="S256" t="str">
        <f t="shared" si="8"/>
        <v/>
      </c>
    </row>
    <row r="257" spans="1:22" x14ac:dyDescent="0.25">
      <c r="A257" s="227"/>
      <c r="B257" s="227"/>
      <c r="C257" s="227"/>
      <c r="D257" s="227"/>
      <c r="E257" s="227"/>
      <c r="F257" s="209" t="str">
        <f>IF(COUNTIF(F247:F256,"No")&gt;0,"No",IF(COUNTIF(F247:F256,"Yes")&gt;0,"Yes",""))</f>
        <v/>
      </c>
      <c r="G257" s="227"/>
      <c r="H257" s="248" t="s">
        <v>529</v>
      </c>
      <c r="I257" s="547" t="str">
        <f>IFERROR(SUMPRODUCT(E247:E256,H247:H256)/SUMPRODUCT(E247:E256,G247:G256),"")</f>
        <v/>
      </c>
      <c r="J257" s="547" t="str">
        <f>IFERROR(SUMPRODUCT(E247:E256,H247:H256,J247:J256)/SUMPRODUCT(E247:E256,H247:H256),"")</f>
        <v/>
      </c>
      <c r="K257" s="227"/>
      <c r="L257" s="227"/>
      <c r="M257" s="227"/>
      <c r="N257" s="227"/>
      <c r="P257" s="42"/>
      <c r="S257" t="str">
        <f t="shared" si="8"/>
        <v/>
      </c>
    </row>
    <row r="258" spans="1:22" x14ac:dyDescent="0.25">
      <c r="A258" s="227"/>
      <c r="B258" s="227"/>
      <c r="C258" s="227"/>
      <c r="D258" s="227"/>
      <c r="E258" s="227"/>
      <c r="F258" s="227"/>
      <c r="G258" s="227"/>
      <c r="H258" s="227"/>
      <c r="I258" s="227"/>
      <c r="J258" s="227"/>
      <c r="K258" s="227"/>
      <c r="L258" s="227"/>
      <c r="M258" s="227"/>
      <c r="N258" s="227"/>
      <c r="P258" s="42"/>
      <c r="Q258" s="42"/>
    </row>
    <row r="259" spans="1:22" ht="18" customHeight="1" x14ac:dyDescent="0.25">
      <c r="A259" s="227"/>
      <c r="B259" s="1529" t="s">
        <v>37</v>
      </c>
      <c r="C259" s="1530"/>
      <c r="D259" s="1531"/>
      <c r="E259" s="250" t="str">
        <f>IFERROR(I257/J257-1,"")</f>
        <v/>
      </c>
      <c r="F259" s="227"/>
      <c r="G259" s="227"/>
      <c r="H259" s="227"/>
      <c r="I259" s="227"/>
      <c r="J259" s="227"/>
      <c r="K259" s="227"/>
      <c r="L259" s="227"/>
      <c r="M259" s="227"/>
      <c r="N259" s="227"/>
      <c r="O259" s="42"/>
      <c r="P259" s="42"/>
      <c r="Q259" s="42"/>
    </row>
    <row r="260" spans="1:22" ht="18" customHeight="1" x14ac:dyDescent="0.25">
      <c r="A260" s="227"/>
      <c r="B260" s="1529" t="s">
        <v>803</v>
      </c>
      <c r="C260" s="1530"/>
      <c r="D260" s="1531"/>
      <c r="E260" s="250" t="str">
        <f>F257</f>
        <v/>
      </c>
      <c r="F260" s="227"/>
      <c r="G260" s="227"/>
      <c r="H260" s="227"/>
      <c r="I260" s="227"/>
      <c r="J260" s="227"/>
      <c r="K260" s="227"/>
      <c r="L260" s="227"/>
      <c r="M260" s="227"/>
      <c r="N260" s="227"/>
      <c r="O260" s="42"/>
      <c r="P260" s="42"/>
      <c r="Q260" s="42"/>
      <c r="R260" s="42"/>
      <c r="S260" s="42"/>
    </row>
    <row r="261" spans="1:22" ht="16.5" customHeight="1" x14ac:dyDescent="0.25">
      <c r="A261" s="227"/>
      <c r="B261" s="227"/>
      <c r="C261" s="227"/>
      <c r="D261" s="227"/>
      <c r="E261" s="227"/>
      <c r="F261" s="227"/>
      <c r="G261" s="227"/>
      <c r="H261" s="227"/>
      <c r="I261" s="227"/>
      <c r="J261" s="227"/>
      <c r="K261" s="227"/>
      <c r="L261" s="227"/>
      <c r="M261" s="227"/>
      <c r="N261" s="227"/>
      <c r="O261" s="42"/>
      <c r="P261" s="42"/>
      <c r="Q261" s="42"/>
      <c r="R261" s="42"/>
      <c r="S261" s="42"/>
    </row>
    <row r="262" spans="1:22" s="42" customFormat="1" ht="16.5" customHeight="1" x14ac:dyDescent="0.25">
      <c r="A262" s="1410" t="s">
        <v>200</v>
      </c>
      <c r="B262" s="1410"/>
      <c r="C262" s="1410"/>
      <c r="D262" s="227"/>
      <c r="E262" s="227"/>
      <c r="F262" s="227"/>
      <c r="G262" s="227"/>
      <c r="H262" s="227"/>
      <c r="I262" s="227"/>
      <c r="J262" s="227"/>
      <c r="K262" s="227"/>
      <c r="L262" s="227"/>
      <c r="M262" s="227"/>
      <c r="N262" s="227"/>
      <c r="T262"/>
      <c r="U262"/>
      <c r="V262"/>
    </row>
    <row r="263" spans="1:22" s="42" customFormat="1" ht="12.75" customHeight="1" x14ac:dyDescent="0.25">
      <c r="A263" s="227"/>
      <c r="B263" s="227"/>
      <c r="C263" s="227"/>
      <c r="D263" s="227"/>
      <c r="E263" s="227"/>
      <c r="F263" s="227"/>
      <c r="G263" s="227"/>
      <c r="H263" s="227"/>
      <c r="I263" s="227"/>
      <c r="J263" s="227"/>
      <c r="K263" s="227"/>
      <c r="L263" s="227"/>
      <c r="M263" s="227"/>
      <c r="N263" s="227"/>
    </row>
    <row r="264" spans="1:22" s="42" customFormat="1" ht="21" customHeight="1" x14ac:dyDescent="0.25">
      <c r="A264" s="227"/>
      <c r="B264" s="1610" t="s">
        <v>2200</v>
      </c>
      <c r="C264" s="1611"/>
      <c r="D264" s="1611"/>
      <c r="E264" s="1611"/>
      <c r="F264" s="1611"/>
      <c r="G264" s="1045" t="s">
        <v>2101</v>
      </c>
      <c r="H264" s="1443" t="s">
        <v>2102</v>
      </c>
      <c r="I264" s="1444"/>
      <c r="J264" s="227"/>
      <c r="K264" s="227"/>
      <c r="L264" s="227"/>
      <c r="M264" s="227"/>
      <c r="N264" s="227"/>
    </row>
    <row r="265" spans="1:22" s="42" customFormat="1" ht="27" customHeight="1" x14ac:dyDescent="0.25">
      <c r="A265" s="227"/>
      <c r="B265" s="1612" t="s">
        <v>1303</v>
      </c>
      <c r="C265" s="1613"/>
      <c r="D265" s="1613"/>
      <c r="E265" s="1613"/>
      <c r="F265" s="1614"/>
      <c r="G265" s="518" t="s">
        <v>129</v>
      </c>
      <c r="H265" s="1441"/>
      <c r="I265" s="1442"/>
      <c r="J265" s="227"/>
      <c r="K265" s="227"/>
      <c r="L265" s="227"/>
      <c r="M265" s="227"/>
      <c r="N265" s="227"/>
      <c r="P265"/>
    </row>
    <row r="266" spans="1:22" s="42" customFormat="1" ht="24" customHeight="1" x14ac:dyDescent="0.25">
      <c r="A266" s="227"/>
      <c r="B266" s="1519" t="s">
        <v>1893</v>
      </c>
      <c r="C266" s="1520"/>
      <c r="D266" s="1520"/>
      <c r="E266" s="1520"/>
      <c r="F266" s="1521"/>
      <c r="G266" s="977" t="s">
        <v>129</v>
      </c>
      <c r="H266" s="1441"/>
      <c r="I266" s="1442"/>
      <c r="J266" s="227"/>
      <c r="K266" s="227"/>
      <c r="L266" s="227"/>
      <c r="M266" s="227"/>
      <c r="N266" s="227"/>
      <c r="P266"/>
      <c r="Q266"/>
    </row>
    <row r="267" spans="1:22" s="42" customFormat="1" ht="21" customHeight="1" x14ac:dyDescent="0.25">
      <c r="A267" s="227"/>
      <c r="B267" s="1047" t="s">
        <v>1295</v>
      </c>
      <c r="C267" s="227"/>
      <c r="D267" s="227"/>
      <c r="E267" s="227"/>
      <c r="F267" s="227"/>
      <c r="G267" s="227"/>
      <c r="H267" s="227"/>
      <c r="I267" s="227"/>
      <c r="J267" s="227"/>
      <c r="K267" s="227"/>
      <c r="L267" s="227"/>
      <c r="M267" s="227"/>
      <c r="N267" s="227"/>
      <c r="P267"/>
      <c r="Q267"/>
    </row>
    <row r="268" spans="1:22" s="42" customFormat="1" ht="21" customHeight="1" x14ac:dyDescent="0.25">
      <c r="A268" s="227"/>
      <c r="B268" s="1610" t="s">
        <v>2201</v>
      </c>
      <c r="C268" s="1611"/>
      <c r="D268" s="1611"/>
      <c r="E268" s="1611"/>
      <c r="F268" s="1611"/>
      <c r="G268" s="1045" t="s">
        <v>2101</v>
      </c>
      <c r="H268" s="1443" t="s">
        <v>2102</v>
      </c>
      <c r="I268" s="1444"/>
      <c r="J268" s="227"/>
      <c r="K268" s="227"/>
      <c r="L268" s="227"/>
      <c r="M268" s="227"/>
      <c r="N268" s="227"/>
      <c r="O268"/>
      <c r="P268"/>
      <c r="Q268"/>
      <c r="R268"/>
    </row>
    <row r="269" spans="1:22" ht="28.5" customHeight="1" x14ac:dyDescent="0.25">
      <c r="A269" s="227"/>
      <c r="B269" s="1612" t="s">
        <v>1304</v>
      </c>
      <c r="C269" s="1613"/>
      <c r="D269" s="1613"/>
      <c r="E269" s="1613"/>
      <c r="F269" s="1614"/>
      <c r="G269" s="531" t="s">
        <v>129</v>
      </c>
      <c r="H269" s="1441"/>
      <c r="I269" s="1442"/>
      <c r="J269" s="227"/>
      <c r="K269" s="227"/>
      <c r="L269" s="227"/>
      <c r="M269" s="227"/>
      <c r="N269" s="227"/>
      <c r="P269" s="42"/>
      <c r="T269" s="42"/>
      <c r="U269" s="42"/>
      <c r="V269" s="42"/>
    </row>
    <row r="270" spans="1:22" ht="24" customHeight="1" x14ac:dyDescent="0.25">
      <c r="A270" s="227"/>
      <c r="B270" s="1436" t="s">
        <v>1893</v>
      </c>
      <c r="C270" s="1437"/>
      <c r="D270" s="1437"/>
      <c r="E270" s="1437"/>
      <c r="F270" s="1438"/>
      <c r="G270" s="977" t="s">
        <v>129</v>
      </c>
      <c r="H270" s="1441"/>
      <c r="I270" s="1442"/>
      <c r="J270" s="227"/>
      <c r="K270" s="227"/>
      <c r="L270" s="227"/>
      <c r="M270" s="227"/>
      <c r="N270" s="227"/>
      <c r="Q270" s="42"/>
      <c r="T270" s="42"/>
      <c r="U270" s="42"/>
      <c r="V270" s="42"/>
    </row>
    <row r="271" spans="1:22" ht="19.5" customHeight="1" x14ac:dyDescent="0.25">
      <c r="A271" s="227"/>
      <c r="B271" s="227"/>
      <c r="C271" s="227"/>
      <c r="D271" s="227"/>
      <c r="E271" s="227"/>
      <c r="F271" s="227"/>
      <c r="G271" s="227"/>
      <c r="H271" s="227"/>
      <c r="I271" s="227"/>
      <c r="J271" s="227"/>
      <c r="K271" s="227"/>
      <c r="L271" s="227"/>
      <c r="M271" s="227"/>
      <c r="N271" s="227"/>
      <c r="O271" s="42"/>
    </row>
    <row r="272" spans="1:22" ht="16.5" customHeight="1" x14ac:dyDescent="0.25">
      <c r="A272" s="1410" t="s">
        <v>25</v>
      </c>
      <c r="B272" s="1410"/>
      <c r="C272" s="1410"/>
      <c r="D272" s="227"/>
      <c r="E272" s="227"/>
      <c r="F272" s="227"/>
      <c r="G272" s="227"/>
      <c r="H272" s="227"/>
      <c r="I272" s="227"/>
      <c r="J272" s="227"/>
      <c r="K272" s="227"/>
      <c r="L272" s="227"/>
      <c r="M272" s="227"/>
      <c r="N272" s="227"/>
      <c r="R272" s="42"/>
      <c r="S272" s="42"/>
    </row>
    <row r="273" spans="1:14" ht="14.25" customHeight="1" x14ac:dyDescent="0.25">
      <c r="A273" s="227"/>
      <c r="B273" s="227"/>
      <c r="C273" s="227"/>
      <c r="D273" s="227"/>
      <c r="E273" s="227"/>
      <c r="F273" s="227"/>
      <c r="G273" s="227"/>
      <c r="H273" s="227"/>
      <c r="I273" s="227"/>
      <c r="J273" s="227"/>
      <c r="K273" s="227"/>
      <c r="L273" s="227"/>
      <c r="M273" s="227"/>
      <c r="N273" s="227"/>
    </row>
    <row r="274" spans="1:14" ht="18" customHeight="1" x14ac:dyDescent="0.25">
      <c r="A274" s="227"/>
      <c r="B274" s="192" t="s">
        <v>56</v>
      </c>
      <c r="C274" s="1190" t="str">
        <f>IF(D171="Performance Path",IF(E259=0,0,IF(E259&gt;=0.3,3,IF(E259&gt;=0.2,2,IF(E259&gt;=0.1,1,0))))+IF(E260="Yes",1,0),"")</f>
        <v/>
      </c>
      <c r="D274" s="227"/>
      <c r="E274" s="227"/>
      <c r="F274" s="227"/>
      <c r="G274" s="227"/>
      <c r="H274" s="227"/>
      <c r="I274" s="227"/>
      <c r="J274" s="227"/>
      <c r="K274" s="227"/>
      <c r="L274" s="227"/>
      <c r="M274" s="227"/>
      <c r="N274" s="227"/>
    </row>
    <row r="275" spans="1:14" ht="18" customHeight="1" x14ac:dyDescent="0.25">
      <c r="A275" s="227"/>
      <c r="B275" s="192" t="s">
        <v>521</v>
      </c>
      <c r="C275" s="1190" t="str">
        <f>IF(D171="Performance Path",IF(E260="Yes",IF(AND(G265="Submitted",G266="Submitted",G269="Submitted",G270="Submitted",C274&gt;0),"Yes","No"),IF(AND(G269="Submitted",G270="Submitted",C274&gt;0),"Yes","No")),"")</f>
        <v/>
      </c>
      <c r="D275" s="227"/>
      <c r="E275" s="227"/>
      <c r="F275" s="227"/>
      <c r="G275" s="227"/>
      <c r="H275" s="227"/>
      <c r="I275" s="227"/>
      <c r="J275" s="227"/>
      <c r="K275" s="227"/>
      <c r="L275" s="227"/>
      <c r="M275" s="227"/>
      <c r="N275" s="227"/>
    </row>
    <row r="276" spans="1:14" ht="18" customHeight="1" x14ac:dyDescent="0.25">
      <c r="A276" s="227"/>
      <c r="B276" s="227"/>
      <c r="C276" s="227"/>
      <c r="D276" s="227"/>
      <c r="E276" s="227"/>
      <c r="F276" s="227"/>
      <c r="G276" s="227"/>
      <c r="H276" s="227"/>
      <c r="I276" s="227"/>
      <c r="J276" s="227"/>
      <c r="K276" s="227"/>
      <c r="L276" s="227"/>
      <c r="M276" s="227"/>
      <c r="N276" s="227"/>
    </row>
    <row r="277" spans="1:14" hidden="1" x14ac:dyDescent="0.25">
      <c r="A277" s="227"/>
      <c r="B277" s="227"/>
      <c r="C277" s="227"/>
      <c r="D277" s="227"/>
      <c r="E277" s="227"/>
      <c r="F277" s="227"/>
      <c r="G277" s="227"/>
      <c r="H277" s="227"/>
      <c r="I277" s="227"/>
      <c r="J277" s="227"/>
      <c r="K277" s="227"/>
      <c r="L277" s="227"/>
      <c r="M277" s="227"/>
      <c r="N277" s="227"/>
    </row>
    <row r="278" spans="1:14" hidden="1" x14ac:dyDescent="0.25"/>
    <row r="279" spans="1:14" hidden="1" x14ac:dyDescent="0.25"/>
    <row r="280" spans="1:14" hidden="1" x14ac:dyDescent="0.25"/>
    <row r="281" spans="1:14" hidden="1" x14ac:dyDescent="0.25"/>
    <row r="282" spans="1:14" hidden="1" x14ac:dyDescent="0.25"/>
    <row r="283" spans="1:14" hidden="1" x14ac:dyDescent="0.25"/>
    <row r="284" spans="1:14" hidden="1" x14ac:dyDescent="0.25"/>
    <row r="285" spans="1:14" hidden="1" x14ac:dyDescent="0.25"/>
    <row r="286" spans="1:14" hidden="1" x14ac:dyDescent="0.25"/>
    <row r="287" spans="1:14" hidden="1" x14ac:dyDescent="0.25"/>
    <row r="288" spans="1:14"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sheetData>
  <sheetProtection algorithmName="SHA-512" hashValue="KVLt8YZwMD/akSDDLN6e9afysnGw9E4eTjjOgsRHEjJTG8Z+ILBPIgxA+RmwPtG3egqwS8NJ2qVVwvgilJVZKg==" saltValue="Q0Q0uDNhPp5THUCi6d7OZg==" spinCount="100000" sheet="1" objects="1" scenarios="1"/>
  <dataConsolidate/>
  <mergeCells count="204">
    <mergeCell ref="K252:N252"/>
    <mergeCell ref="K253:N253"/>
    <mergeCell ref="A272:C272"/>
    <mergeCell ref="B204:F204"/>
    <mergeCell ref="B208:F208"/>
    <mergeCell ref="B157:F157"/>
    <mergeCell ref="B158:F158"/>
    <mergeCell ref="B161:F161"/>
    <mergeCell ref="B162:F162"/>
    <mergeCell ref="B265:F265"/>
    <mergeCell ref="B269:F269"/>
    <mergeCell ref="A164:C164"/>
    <mergeCell ref="B199:D199"/>
    <mergeCell ref="B198:D198"/>
    <mergeCell ref="A181:C181"/>
    <mergeCell ref="A175:C175"/>
    <mergeCell ref="B220:K220"/>
    <mergeCell ref="B222:K222"/>
    <mergeCell ref="A216:N216"/>
    <mergeCell ref="B268:F268"/>
    <mergeCell ref="H268:I268"/>
    <mergeCell ref="H157:I157"/>
    <mergeCell ref="H158:I158"/>
    <mergeCell ref="H161:I161"/>
    <mergeCell ref="H162:I162"/>
    <mergeCell ref="B207:F207"/>
    <mergeCell ref="B58:E58"/>
    <mergeCell ref="H58:K58"/>
    <mergeCell ref="B209:F209"/>
    <mergeCell ref="H114:K114"/>
    <mergeCell ref="H269:I269"/>
    <mergeCell ref="H270:I270"/>
    <mergeCell ref="H208:I208"/>
    <mergeCell ref="H209:I209"/>
    <mergeCell ref="H204:I204"/>
    <mergeCell ref="H205:I205"/>
    <mergeCell ref="A154:C154"/>
    <mergeCell ref="H156:I156"/>
    <mergeCell ref="H89:I89"/>
    <mergeCell ref="H90:I90"/>
    <mergeCell ref="H93:I93"/>
    <mergeCell ref="H94:I94"/>
    <mergeCell ref="H207:I207"/>
    <mergeCell ref="B203:F203"/>
    <mergeCell ref="H203:I203"/>
    <mergeCell ref="B264:F264"/>
    <mergeCell ref="H264:I264"/>
    <mergeCell ref="H265:I265"/>
    <mergeCell ref="H266:I266"/>
    <mergeCell ref="K251:N251"/>
    <mergeCell ref="A5:N7"/>
    <mergeCell ref="B225:B226"/>
    <mergeCell ref="F225:F226"/>
    <mergeCell ref="B228:B230"/>
    <mergeCell ref="E231:E232"/>
    <mergeCell ref="K247:N247"/>
    <mergeCell ref="K248:N248"/>
    <mergeCell ref="C238:D238"/>
    <mergeCell ref="C239:D239"/>
    <mergeCell ref="B152:E152"/>
    <mergeCell ref="B35:F35"/>
    <mergeCell ref="H19:H22"/>
    <mergeCell ref="I19:I22"/>
    <mergeCell ref="B28:F28"/>
    <mergeCell ref="B23:F23"/>
    <mergeCell ref="B36:F36"/>
    <mergeCell ref="K122:N123"/>
    <mergeCell ref="I32:I35"/>
    <mergeCell ref="B26:F26"/>
    <mergeCell ref="A9:N9"/>
    <mergeCell ref="A101:N101"/>
    <mergeCell ref="C234:D234"/>
    <mergeCell ref="L57:M57"/>
    <mergeCell ref="C235:D235"/>
    <mergeCell ref="H32:H35"/>
    <mergeCell ref="B32:F32"/>
    <mergeCell ref="B33:F33"/>
    <mergeCell ref="B34:F34"/>
    <mergeCell ref="G32:G35"/>
    <mergeCell ref="B57:E57"/>
    <mergeCell ref="B52:F52"/>
    <mergeCell ref="B54:F54"/>
    <mergeCell ref="A44:C44"/>
    <mergeCell ref="B55:E55"/>
    <mergeCell ref="A38:N38"/>
    <mergeCell ref="A42:N42"/>
    <mergeCell ref="H57:K57"/>
    <mergeCell ref="B46:L46"/>
    <mergeCell ref="B49:L49"/>
    <mergeCell ref="B50:L50"/>
    <mergeCell ref="A169:N169"/>
    <mergeCell ref="A173:N173"/>
    <mergeCell ref="B65:L65"/>
    <mergeCell ref="B92:F92"/>
    <mergeCell ref="H92:I92"/>
    <mergeCell ref="B105:L105"/>
    <mergeCell ref="B124:L124"/>
    <mergeCell ref="B160:F160"/>
    <mergeCell ref="H160:I160"/>
    <mergeCell ref="L114:M114"/>
    <mergeCell ref="B120:D120"/>
    <mergeCell ref="B89:F89"/>
    <mergeCell ref="B90:F90"/>
    <mergeCell ref="B93:F93"/>
    <mergeCell ref="B94:F94"/>
    <mergeCell ref="B107:L107"/>
    <mergeCell ref="B108:L108"/>
    <mergeCell ref="B109:L109"/>
    <mergeCell ref="B177:K177"/>
    <mergeCell ref="B179:K179"/>
    <mergeCell ref="B14:F14"/>
    <mergeCell ref="B25:F25"/>
    <mergeCell ref="B19:F19"/>
    <mergeCell ref="B27:F27"/>
    <mergeCell ref="H26:H31"/>
    <mergeCell ref="B29:F29"/>
    <mergeCell ref="B30:F30"/>
    <mergeCell ref="H55:K55"/>
    <mergeCell ref="H14:H18"/>
    <mergeCell ref="B48:L48"/>
    <mergeCell ref="L55:M55"/>
    <mergeCell ref="B31:F31"/>
    <mergeCell ref="B40:C40"/>
    <mergeCell ref="I26:I31"/>
    <mergeCell ref="G14:G18"/>
    <mergeCell ref="B15:F15"/>
    <mergeCell ref="B16:F16"/>
    <mergeCell ref="B20:F20"/>
    <mergeCell ref="B21:F21"/>
    <mergeCell ref="G19:G22"/>
    <mergeCell ref="B17:F17"/>
    <mergeCell ref="B18:F18"/>
    <mergeCell ref="G26:G31"/>
    <mergeCell ref="B22:F22"/>
    <mergeCell ref="I2:K4"/>
    <mergeCell ref="C240:D240"/>
    <mergeCell ref="B231:B236"/>
    <mergeCell ref="B237:B240"/>
    <mergeCell ref="E225:E226"/>
    <mergeCell ref="F231:F232"/>
    <mergeCell ref="F233:F236"/>
    <mergeCell ref="F238:F240"/>
    <mergeCell ref="F227:F230"/>
    <mergeCell ref="C225:D226"/>
    <mergeCell ref="C227:D227"/>
    <mergeCell ref="C228:D228"/>
    <mergeCell ref="C229:D229"/>
    <mergeCell ref="C230:D230"/>
    <mergeCell ref="C231:D232"/>
    <mergeCell ref="C233:D233"/>
    <mergeCell ref="I14:I18"/>
    <mergeCell ref="H54:M54"/>
    <mergeCell ref="H117:K117"/>
    <mergeCell ref="L117:M117"/>
    <mergeCell ref="L118:M118"/>
    <mergeCell ref="B13:F13"/>
    <mergeCell ref="B259:D259"/>
    <mergeCell ref="B67:F67"/>
    <mergeCell ref="C236:D236"/>
    <mergeCell ref="C237:D237"/>
    <mergeCell ref="A201:C201"/>
    <mergeCell ref="A211:C211"/>
    <mergeCell ref="A218:C218"/>
    <mergeCell ref="A242:C242"/>
    <mergeCell ref="B116:E116"/>
    <mergeCell ref="B117:E117"/>
    <mergeCell ref="B126:J126"/>
    <mergeCell ref="B127:J127"/>
    <mergeCell ref="B128:J128"/>
    <mergeCell ref="B129:J129"/>
    <mergeCell ref="B130:J130"/>
    <mergeCell ref="B131:J131"/>
    <mergeCell ref="B205:F205"/>
    <mergeCell ref="H113:L113"/>
    <mergeCell ref="B114:E114"/>
    <mergeCell ref="B88:F88"/>
    <mergeCell ref="H88:I88"/>
    <mergeCell ref="B156:F156"/>
    <mergeCell ref="B224:F224"/>
    <mergeCell ref="H118:K118"/>
    <mergeCell ref="B266:F266"/>
    <mergeCell ref="B270:F270"/>
    <mergeCell ref="L58:M58"/>
    <mergeCell ref="H59:K59"/>
    <mergeCell ref="L59:M59"/>
    <mergeCell ref="B61:D61"/>
    <mergeCell ref="B69:E69"/>
    <mergeCell ref="B70:E70"/>
    <mergeCell ref="B171:C171"/>
    <mergeCell ref="B111:F111"/>
    <mergeCell ref="B113:F113"/>
    <mergeCell ref="A86:C86"/>
    <mergeCell ref="A96:C96"/>
    <mergeCell ref="A103:C103"/>
    <mergeCell ref="A136:C136"/>
    <mergeCell ref="K256:N256"/>
    <mergeCell ref="K249:N249"/>
    <mergeCell ref="K250:N250"/>
    <mergeCell ref="A262:C262"/>
    <mergeCell ref="K254:N254"/>
    <mergeCell ref="K255:N255"/>
    <mergeCell ref="H116:K116"/>
    <mergeCell ref="L116:M116"/>
    <mergeCell ref="B260:D260"/>
  </mergeCells>
  <dataValidations xWindow="115" yWindow="597" count="11">
    <dataValidation allowBlank="1" showInputMessage="1" showErrorMessage="1" prompt="Enter the cooling capacity of the air-conditioning unit at rating conditions." sqref="H247:H256"/>
    <dataValidation type="list" allowBlank="1" showInputMessage="1" showErrorMessage="1" sqref="D186:D195 D247:D256">
      <formula1>type_AC</formula1>
    </dataValidation>
    <dataValidation type="list" allowBlank="1" showInputMessage="1" showErrorMessage="1" sqref="D171 D40">
      <formula1>"Select,Prescriptive Path, Performance Path"</formula1>
    </dataValidation>
    <dataValidation allowBlank="1" showInputMessage="1" showErrorMessage="1" prompt="Example: _x000a_4 openings: 1 opening of 2 m2, 1 opening of 3m2 and 2 openings of 2.5 m2_x000a_Write information as follows:_x000a_&quot;1 OP1 - 2 m2_x000a_1 OP2 - 3 m2_x000a_2 OP3 - 2.5 m2&quot;" sqref="D140:D150"/>
    <dataValidation allowBlank="1" showInputMessage="1" showErrorMessage="1" prompt="- If the openings are on adjacent walls, they must be at least 3 meters apart at their closest point._x000a_- Distance between the supply and exhaust openings is not more than 15 meters" sqref="H140"/>
    <dataValidation allowBlank="1" showInputMessage="1" showErrorMessage="1" prompt="There should not be more than one doorway or opening smaller than 2 m2 between the ventilation openings." sqref="I140"/>
    <dataValidation type="list" allowBlank="1" showInputMessage="1" showErrorMessage="1" sqref="G157:G158 G161:G162 G204:G205 G89:G90 G93:G94 G269:G270 G208:G209 G265:G266">
      <formula1>"Select,Submitted,Not submitted"</formula1>
    </dataValidation>
    <dataValidation type="list" allowBlank="1" showInputMessage="1" showErrorMessage="1" sqref="F247:F256 F186:F195 E141:F150">
      <formula1>"Select,Yes,No"</formula1>
    </dataValidation>
    <dataValidation type="list" allowBlank="1" showInputMessage="1" showErrorMessage="1" sqref="G141:G150">
      <formula1>"Select,on opposite walls,on adjacent walls"</formula1>
    </dataValidation>
    <dataValidation allowBlank="1" showInputMessage="1" showErrorMessage="1" prompt="Enter the name of the living room or bedroom" sqref="B141:B150"/>
    <dataValidation type="list" allowBlank="1" showInputMessage="1" showErrorMessage="1" sqref="G186:G195">
      <formula1>"Select,no star, 1 star, 2 stars, 3 stars, 4 stars, 5 stars"</formula1>
    </dataValidation>
  </dataValidations>
  <hyperlinks>
    <hyperlink ref="L2" location="'E-1 Passive Design'!B3" tooltip="E-1" display="E-1"/>
    <hyperlink ref="L3" location="'E-2 Building Envelope'!B3" tooltip="E-2" display="E-2"/>
    <hyperlink ref="L4" location="'E-4 Artificial Lighting'!D3" tooltip="E-4" display="E-4"/>
    <hyperlink ref="M3" location="'E-6 Energy Efficient Appliances'!E3" tooltip="E-6" display="E-6"/>
    <hyperlink ref="M2" location="'E-5 Water heating'!D3" tooltip="E-5" display="E-5"/>
    <hyperlink ref="N3" location="'Energy BPC'!B3" tooltip="BPC" display="BPC"/>
    <hyperlink ref="M4" location="'E-7 Energy Monitor'!D3" tooltip="E-7" display="E-7"/>
  </hyperlinks>
  <pageMargins left="0.7" right="0.7" top="0.75" bottom="0.75" header="0.3" footer="0.3"/>
  <pageSetup orientation="portrait" r:id="rId1"/>
  <drawing r:id="rId2"/>
  <legacyDrawing r:id="rId3"/>
  <oleObjects>
    <mc:AlternateContent xmlns:mc="http://schemas.openxmlformats.org/markup-compatibility/2006">
      <mc:Choice Requires="x14">
        <oleObject shapeId="96305">
          <objectPr locked="0" defaultSize="0" autoFill="0" autoLine="0" autoPict="0" dde="1">
            <anchor moveWithCells="1">
              <from>
                <xdr:col>5</xdr:col>
                <xdr:colOff>47625</xdr:colOff>
                <xdr:row>112</xdr:row>
                <xdr:rowOff>152400</xdr:rowOff>
              </from>
              <to>
                <xdr:col>5</xdr:col>
                <xdr:colOff>419100</xdr:colOff>
                <xdr:row>114</xdr:row>
                <xdr:rowOff>28575</xdr:rowOff>
              </to>
            </anchor>
          </objectPr>
        </oleObject>
      </mc:Choice>
    </mc:AlternateContent>
    <mc:AlternateContent xmlns:mc="http://schemas.openxmlformats.org/markup-compatibility/2006">
      <mc:Choice Requires="x14">
        <oleObject shapeId="96306">
          <objectPr defaultSize="0" autoFill="0" autoLine="0" autoPict="0" dde="1">
            <anchor moveWithCells="1">
              <from>
                <xdr:col>5</xdr:col>
                <xdr:colOff>628650</xdr:colOff>
                <xdr:row>112</xdr:row>
                <xdr:rowOff>152400</xdr:rowOff>
              </from>
              <to>
                <xdr:col>5</xdr:col>
                <xdr:colOff>1000125</xdr:colOff>
                <xdr:row>114</xdr:row>
                <xdr:rowOff>28575</xdr:rowOff>
              </to>
            </anchor>
          </objectPr>
        </oleObject>
      </mc:Choice>
    </mc:AlternateContent>
    <mc:AlternateContent xmlns:mc="http://schemas.openxmlformats.org/markup-compatibility/2006">
      <mc:Choice Requires="x14">
        <oleObject shapeId="96307">
          <objectPr locked="0" defaultSize="0" autoFill="0" autoLine="0" autoPict="0" dde="1">
            <anchor moveWithCells="1">
              <from>
                <xdr:col>5</xdr:col>
                <xdr:colOff>47625</xdr:colOff>
                <xdr:row>114</xdr:row>
                <xdr:rowOff>152400</xdr:rowOff>
              </from>
              <to>
                <xdr:col>5</xdr:col>
                <xdr:colOff>419100</xdr:colOff>
                <xdr:row>116</xdr:row>
                <xdr:rowOff>47625</xdr:rowOff>
              </to>
            </anchor>
          </objectPr>
        </oleObject>
      </mc:Choice>
    </mc:AlternateContent>
  </oleObjects>
  <mc:AlternateContent xmlns:mc="http://schemas.openxmlformats.org/markup-compatibility/2006">
    <mc:Choice Requires="x14">
      <controls>
        <mc:AlternateContent xmlns:mc="http://schemas.openxmlformats.org/markup-compatibility/2006">
          <mc:Choice Requires="x14">
            <control shapeId="96266" r:id="rId4" name="Check Box 10">
              <controlPr locked="0" defaultSize="0" autoFill="0" autoLine="0" autoPict="0">
                <anchor moveWithCells="1">
                  <from>
                    <xdr:col>5</xdr:col>
                    <xdr:colOff>38100</xdr:colOff>
                    <xdr:row>68</xdr:row>
                    <xdr:rowOff>28575</xdr:rowOff>
                  </from>
                  <to>
                    <xdr:col>5</xdr:col>
                    <xdr:colOff>409575</xdr:colOff>
                    <xdr:row>68</xdr:row>
                    <xdr:rowOff>209550</xdr:rowOff>
                  </to>
                </anchor>
              </controlPr>
            </control>
          </mc:Choice>
        </mc:AlternateContent>
        <mc:AlternateContent xmlns:mc="http://schemas.openxmlformats.org/markup-compatibility/2006">
          <mc:Choice Requires="x14">
            <control shapeId="96267" r:id="rId5" name="Check Box 11">
              <controlPr defaultSize="0" autoFill="0" autoLine="0" autoPict="0">
                <anchor moveWithCells="1">
                  <from>
                    <xdr:col>5</xdr:col>
                    <xdr:colOff>619125</xdr:colOff>
                    <xdr:row>68</xdr:row>
                    <xdr:rowOff>38100</xdr:rowOff>
                  </from>
                  <to>
                    <xdr:col>5</xdr:col>
                    <xdr:colOff>990600</xdr:colOff>
                    <xdr:row>68</xdr:row>
                    <xdr:rowOff>219075</xdr:rowOff>
                  </to>
                </anchor>
              </controlPr>
            </control>
          </mc:Choice>
        </mc:AlternateContent>
        <mc:AlternateContent xmlns:mc="http://schemas.openxmlformats.org/markup-compatibility/2006">
          <mc:Choice Requires="x14">
            <control shapeId="96268" r:id="rId6" name="Check Box 12">
              <controlPr locked="0" defaultSize="0" autoFill="0" autoLine="0" autoPict="0">
                <anchor moveWithCells="1">
                  <from>
                    <xdr:col>5</xdr:col>
                    <xdr:colOff>38100</xdr:colOff>
                    <xdr:row>69</xdr:row>
                    <xdr:rowOff>28575</xdr:rowOff>
                  </from>
                  <to>
                    <xdr:col>5</xdr:col>
                    <xdr:colOff>409575</xdr:colOff>
                    <xdr:row>69</xdr:row>
                    <xdr:rowOff>209550</xdr:rowOff>
                  </to>
                </anchor>
              </controlPr>
            </control>
          </mc:Choice>
        </mc:AlternateContent>
        <mc:AlternateContent xmlns:mc="http://schemas.openxmlformats.org/markup-compatibility/2006">
          <mc:Choice Requires="x14">
            <control shapeId="96269" r:id="rId7" name="Check Box 13">
              <controlPr defaultSize="0" autoFill="0" autoLine="0" autoPict="0">
                <anchor moveWithCells="1">
                  <from>
                    <xdr:col>5</xdr:col>
                    <xdr:colOff>619125</xdr:colOff>
                    <xdr:row>69</xdr:row>
                    <xdr:rowOff>28575</xdr:rowOff>
                  </from>
                  <to>
                    <xdr:col>5</xdr:col>
                    <xdr:colOff>990600</xdr:colOff>
                    <xdr:row>69</xdr:row>
                    <xdr:rowOff>209550</xdr:rowOff>
                  </to>
                </anchor>
              </controlPr>
            </control>
          </mc:Choice>
        </mc:AlternateContent>
        <mc:AlternateContent xmlns:mc="http://schemas.openxmlformats.org/markup-compatibility/2006">
          <mc:Choice Requires="x14">
            <control shapeId="96291" r:id="rId8" name="Check Box 35">
              <controlPr locked="0" defaultSize="0" autoFill="0" autoLine="0" autoPict="0">
                <anchor moveWithCells="1">
                  <from>
                    <xdr:col>5</xdr:col>
                    <xdr:colOff>47625</xdr:colOff>
                    <xdr:row>53</xdr:row>
                    <xdr:rowOff>152400</xdr:rowOff>
                  </from>
                  <to>
                    <xdr:col>5</xdr:col>
                    <xdr:colOff>419100</xdr:colOff>
                    <xdr:row>55</xdr:row>
                    <xdr:rowOff>28575</xdr:rowOff>
                  </to>
                </anchor>
              </controlPr>
            </control>
          </mc:Choice>
        </mc:AlternateContent>
        <mc:AlternateContent xmlns:mc="http://schemas.openxmlformats.org/markup-compatibility/2006">
          <mc:Choice Requires="x14">
            <control shapeId="96292" r:id="rId9" name="Check Box 36">
              <controlPr defaultSize="0" autoFill="0" autoLine="0" autoPict="0">
                <anchor moveWithCells="1">
                  <from>
                    <xdr:col>5</xdr:col>
                    <xdr:colOff>628650</xdr:colOff>
                    <xdr:row>53</xdr:row>
                    <xdr:rowOff>152400</xdr:rowOff>
                  </from>
                  <to>
                    <xdr:col>5</xdr:col>
                    <xdr:colOff>1000125</xdr:colOff>
                    <xdr:row>55</xdr:row>
                    <xdr:rowOff>28575</xdr:rowOff>
                  </to>
                </anchor>
              </controlPr>
            </control>
          </mc:Choice>
        </mc:AlternateContent>
        <mc:AlternateContent xmlns:mc="http://schemas.openxmlformats.org/markup-compatibility/2006">
          <mc:Choice Requires="x14">
            <control shapeId="96293" r:id="rId10" name="Check Box 37">
              <controlPr locked="0" defaultSize="0" autoFill="0" autoLine="0" autoPict="0">
                <anchor moveWithCells="1">
                  <from>
                    <xdr:col>5</xdr:col>
                    <xdr:colOff>47625</xdr:colOff>
                    <xdr:row>55</xdr:row>
                    <xdr:rowOff>152400</xdr:rowOff>
                  </from>
                  <to>
                    <xdr:col>5</xdr:col>
                    <xdr:colOff>419100</xdr:colOff>
                    <xdr:row>57</xdr:row>
                    <xdr:rowOff>47625</xdr:rowOff>
                  </to>
                </anchor>
              </controlPr>
            </control>
          </mc:Choice>
        </mc:AlternateContent>
        <mc:AlternateContent xmlns:mc="http://schemas.openxmlformats.org/markup-compatibility/2006">
          <mc:Choice Requires="x14">
            <control shapeId="96294" r:id="rId11" name="Check Box 38">
              <controlPr defaultSize="0" autoFill="0" autoLine="0" autoPict="0">
                <anchor moveWithCells="1">
                  <from>
                    <xdr:col>5</xdr:col>
                    <xdr:colOff>628650</xdr:colOff>
                    <xdr:row>55</xdr:row>
                    <xdr:rowOff>152400</xdr:rowOff>
                  </from>
                  <to>
                    <xdr:col>5</xdr:col>
                    <xdr:colOff>1000125</xdr:colOff>
                    <xdr:row>57</xdr:row>
                    <xdr:rowOff>47625</xdr:rowOff>
                  </to>
                </anchor>
              </controlPr>
            </control>
          </mc:Choice>
        </mc:AlternateContent>
        <mc:AlternateContent xmlns:mc="http://schemas.openxmlformats.org/markup-compatibility/2006">
          <mc:Choice Requires="x14">
            <control shapeId="96295" r:id="rId12" name="Check Box 39">
              <controlPr locked="0" defaultSize="0" autoFill="0" autoLine="0" autoPict="0">
                <anchor moveWithCells="1">
                  <from>
                    <xdr:col>5</xdr:col>
                    <xdr:colOff>47625</xdr:colOff>
                    <xdr:row>56</xdr:row>
                    <xdr:rowOff>180975</xdr:rowOff>
                  </from>
                  <to>
                    <xdr:col>5</xdr:col>
                    <xdr:colOff>419100</xdr:colOff>
                    <xdr:row>58</xdr:row>
                    <xdr:rowOff>38100</xdr:rowOff>
                  </to>
                </anchor>
              </controlPr>
            </control>
          </mc:Choice>
        </mc:AlternateContent>
        <mc:AlternateContent xmlns:mc="http://schemas.openxmlformats.org/markup-compatibility/2006">
          <mc:Choice Requires="x14">
            <control shapeId="96296" r:id="rId13" name="Check Box 40">
              <controlPr defaultSize="0" autoFill="0" autoLine="0" autoPict="0">
                <anchor moveWithCells="1">
                  <from>
                    <xdr:col>5</xdr:col>
                    <xdr:colOff>628650</xdr:colOff>
                    <xdr:row>56</xdr:row>
                    <xdr:rowOff>180975</xdr:rowOff>
                  </from>
                  <to>
                    <xdr:col>5</xdr:col>
                    <xdr:colOff>1000125</xdr:colOff>
                    <xdr:row>58</xdr:row>
                    <xdr:rowOff>38100</xdr:rowOff>
                  </to>
                </anchor>
              </controlPr>
            </control>
          </mc:Choice>
        </mc:AlternateContent>
        <mc:AlternateContent xmlns:mc="http://schemas.openxmlformats.org/markup-compatibility/2006">
          <mc:Choice Requires="x14">
            <control shapeId="96297" r:id="rId14" name="Check Box 41">
              <controlPr locked="0" defaultSize="0" autoFill="0" autoLine="0" autoPict="0">
                <anchor moveWithCells="1">
                  <from>
                    <xdr:col>11</xdr:col>
                    <xdr:colOff>171450</xdr:colOff>
                    <xdr:row>53</xdr:row>
                    <xdr:rowOff>142875</xdr:rowOff>
                  </from>
                  <to>
                    <xdr:col>11</xdr:col>
                    <xdr:colOff>542925</xdr:colOff>
                    <xdr:row>55</xdr:row>
                    <xdr:rowOff>19050</xdr:rowOff>
                  </to>
                </anchor>
              </controlPr>
            </control>
          </mc:Choice>
        </mc:AlternateContent>
        <mc:AlternateContent xmlns:mc="http://schemas.openxmlformats.org/markup-compatibility/2006">
          <mc:Choice Requires="x14">
            <control shapeId="96298" r:id="rId15" name="Check Box 42">
              <controlPr defaultSize="0" autoFill="0" autoLine="0" autoPict="0">
                <anchor moveWithCells="1">
                  <from>
                    <xdr:col>12</xdr:col>
                    <xdr:colOff>66675</xdr:colOff>
                    <xdr:row>53</xdr:row>
                    <xdr:rowOff>142875</xdr:rowOff>
                  </from>
                  <to>
                    <xdr:col>12</xdr:col>
                    <xdr:colOff>438150</xdr:colOff>
                    <xdr:row>55</xdr:row>
                    <xdr:rowOff>19050</xdr:rowOff>
                  </to>
                </anchor>
              </controlPr>
            </control>
          </mc:Choice>
        </mc:AlternateContent>
        <mc:AlternateContent xmlns:mc="http://schemas.openxmlformats.org/markup-compatibility/2006">
          <mc:Choice Requires="x14">
            <control shapeId="96299" r:id="rId16" name="Check Box 43">
              <controlPr locked="0" defaultSize="0" autoFill="0" autoLine="0" autoPict="0">
                <anchor moveWithCells="1">
                  <from>
                    <xdr:col>11</xdr:col>
                    <xdr:colOff>180975</xdr:colOff>
                    <xdr:row>55</xdr:row>
                    <xdr:rowOff>152400</xdr:rowOff>
                  </from>
                  <to>
                    <xdr:col>11</xdr:col>
                    <xdr:colOff>552450</xdr:colOff>
                    <xdr:row>57</xdr:row>
                    <xdr:rowOff>47625</xdr:rowOff>
                  </to>
                </anchor>
              </controlPr>
            </control>
          </mc:Choice>
        </mc:AlternateContent>
        <mc:AlternateContent xmlns:mc="http://schemas.openxmlformats.org/markup-compatibility/2006">
          <mc:Choice Requires="x14">
            <control shapeId="96300" r:id="rId17" name="Check Box 44">
              <controlPr defaultSize="0" autoFill="0" autoLine="0" autoPict="0">
                <anchor moveWithCells="1">
                  <from>
                    <xdr:col>12</xdr:col>
                    <xdr:colOff>76200</xdr:colOff>
                    <xdr:row>55</xdr:row>
                    <xdr:rowOff>152400</xdr:rowOff>
                  </from>
                  <to>
                    <xdr:col>12</xdr:col>
                    <xdr:colOff>447675</xdr:colOff>
                    <xdr:row>57</xdr:row>
                    <xdr:rowOff>47625</xdr:rowOff>
                  </to>
                </anchor>
              </controlPr>
            </control>
          </mc:Choice>
        </mc:AlternateContent>
        <mc:AlternateContent xmlns:mc="http://schemas.openxmlformats.org/markup-compatibility/2006">
          <mc:Choice Requires="x14">
            <control shapeId="96301" r:id="rId18" name="Check Box 45">
              <controlPr locked="0" defaultSize="0" autoFill="0" autoLine="0" autoPict="0">
                <anchor moveWithCells="1">
                  <from>
                    <xdr:col>11</xdr:col>
                    <xdr:colOff>180975</xdr:colOff>
                    <xdr:row>56</xdr:row>
                    <xdr:rowOff>180975</xdr:rowOff>
                  </from>
                  <to>
                    <xdr:col>11</xdr:col>
                    <xdr:colOff>552450</xdr:colOff>
                    <xdr:row>58</xdr:row>
                    <xdr:rowOff>38100</xdr:rowOff>
                  </to>
                </anchor>
              </controlPr>
            </control>
          </mc:Choice>
        </mc:AlternateContent>
        <mc:AlternateContent xmlns:mc="http://schemas.openxmlformats.org/markup-compatibility/2006">
          <mc:Choice Requires="x14">
            <control shapeId="96302" r:id="rId19" name="Check Box 46">
              <controlPr defaultSize="0" autoFill="0" autoLine="0" autoPict="0">
                <anchor moveWithCells="1">
                  <from>
                    <xdr:col>12</xdr:col>
                    <xdr:colOff>76200</xdr:colOff>
                    <xdr:row>56</xdr:row>
                    <xdr:rowOff>180975</xdr:rowOff>
                  </from>
                  <to>
                    <xdr:col>12</xdr:col>
                    <xdr:colOff>447675</xdr:colOff>
                    <xdr:row>58</xdr:row>
                    <xdr:rowOff>38100</xdr:rowOff>
                  </to>
                </anchor>
              </controlPr>
            </control>
          </mc:Choice>
        </mc:AlternateContent>
        <mc:AlternateContent xmlns:mc="http://schemas.openxmlformats.org/markup-compatibility/2006">
          <mc:Choice Requires="x14">
            <control shapeId="96303" r:id="rId20" name="Check Box 47">
              <controlPr locked="0" defaultSize="0" autoFill="0" autoLine="0" autoPict="0">
                <anchor moveWithCells="1">
                  <from>
                    <xdr:col>11</xdr:col>
                    <xdr:colOff>180975</xdr:colOff>
                    <xdr:row>57</xdr:row>
                    <xdr:rowOff>180975</xdr:rowOff>
                  </from>
                  <to>
                    <xdr:col>11</xdr:col>
                    <xdr:colOff>552450</xdr:colOff>
                    <xdr:row>59</xdr:row>
                    <xdr:rowOff>38100</xdr:rowOff>
                  </to>
                </anchor>
              </controlPr>
            </control>
          </mc:Choice>
        </mc:AlternateContent>
        <mc:AlternateContent xmlns:mc="http://schemas.openxmlformats.org/markup-compatibility/2006">
          <mc:Choice Requires="x14">
            <control shapeId="96304" r:id="rId21" name="Check Box 48">
              <controlPr defaultSize="0" autoFill="0" autoLine="0" autoPict="0">
                <anchor moveWithCells="1">
                  <from>
                    <xdr:col>12</xdr:col>
                    <xdr:colOff>76200</xdr:colOff>
                    <xdr:row>57</xdr:row>
                    <xdr:rowOff>180975</xdr:rowOff>
                  </from>
                  <to>
                    <xdr:col>12</xdr:col>
                    <xdr:colOff>447675</xdr:colOff>
                    <xdr:row>59</xdr:row>
                    <xdr:rowOff>38100</xdr:rowOff>
                  </to>
                </anchor>
              </controlPr>
            </control>
          </mc:Choice>
        </mc:AlternateContent>
        <mc:AlternateContent xmlns:mc="http://schemas.openxmlformats.org/markup-compatibility/2006">
          <mc:Choice Requires="x14">
            <control shapeId="96305" r:id="rId22" name="Check Box 49">
              <controlPr locked="0" defaultSize="0" autoFill="0" autoLine="0" autoPict="0">
                <anchor moveWithCells="1">
                  <from>
                    <xdr:col>5</xdr:col>
                    <xdr:colOff>47625</xdr:colOff>
                    <xdr:row>112</xdr:row>
                    <xdr:rowOff>152400</xdr:rowOff>
                  </from>
                  <to>
                    <xdr:col>5</xdr:col>
                    <xdr:colOff>419100</xdr:colOff>
                    <xdr:row>114</xdr:row>
                    <xdr:rowOff>28575</xdr:rowOff>
                  </to>
                </anchor>
              </controlPr>
            </control>
          </mc:Choice>
        </mc:AlternateContent>
        <mc:AlternateContent xmlns:mc="http://schemas.openxmlformats.org/markup-compatibility/2006">
          <mc:Choice Requires="x14">
            <control shapeId="96306" r:id="rId23" name="Check Box 50">
              <controlPr defaultSize="0" autoFill="0" autoLine="0" autoPict="0">
                <anchor moveWithCells="1">
                  <from>
                    <xdr:col>5</xdr:col>
                    <xdr:colOff>628650</xdr:colOff>
                    <xdr:row>112</xdr:row>
                    <xdr:rowOff>152400</xdr:rowOff>
                  </from>
                  <to>
                    <xdr:col>5</xdr:col>
                    <xdr:colOff>1000125</xdr:colOff>
                    <xdr:row>114</xdr:row>
                    <xdr:rowOff>28575</xdr:rowOff>
                  </to>
                </anchor>
              </controlPr>
            </control>
          </mc:Choice>
        </mc:AlternateContent>
        <mc:AlternateContent xmlns:mc="http://schemas.openxmlformats.org/markup-compatibility/2006">
          <mc:Choice Requires="x14">
            <control shapeId="96307" r:id="rId24" name="Check Box 51">
              <controlPr locked="0" defaultSize="0" autoFill="0" autoLine="0" autoPict="0">
                <anchor moveWithCells="1">
                  <from>
                    <xdr:col>5</xdr:col>
                    <xdr:colOff>47625</xdr:colOff>
                    <xdr:row>114</xdr:row>
                    <xdr:rowOff>152400</xdr:rowOff>
                  </from>
                  <to>
                    <xdr:col>5</xdr:col>
                    <xdr:colOff>419100</xdr:colOff>
                    <xdr:row>116</xdr:row>
                    <xdr:rowOff>47625</xdr:rowOff>
                  </to>
                </anchor>
              </controlPr>
            </control>
          </mc:Choice>
        </mc:AlternateContent>
        <mc:AlternateContent xmlns:mc="http://schemas.openxmlformats.org/markup-compatibility/2006">
          <mc:Choice Requires="x14">
            <control shapeId="96308" r:id="rId25" name="Check Box 52">
              <controlPr defaultSize="0" autoFill="0" autoLine="0" autoPict="0">
                <anchor moveWithCells="1">
                  <from>
                    <xdr:col>5</xdr:col>
                    <xdr:colOff>628650</xdr:colOff>
                    <xdr:row>114</xdr:row>
                    <xdr:rowOff>152400</xdr:rowOff>
                  </from>
                  <to>
                    <xdr:col>5</xdr:col>
                    <xdr:colOff>1000125</xdr:colOff>
                    <xdr:row>116</xdr:row>
                    <xdr:rowOff>47625</xdr:rowOff>
                  </to>
                </anchor>
              </controlPr>
            </control>
          </mc:Choice>
        </mc:AlternateContent>
        <mc:AlternateContent xmlns:mc="http://schemas.openxmlformats.org/markup-compatibility/2006">
          <mc:Choice Requires="x14">
            <control shapeId="96309" r:id="rId26" name="Check Box 53">
              <controlPr locked="0" defaultSize="0" autoFill="0" autoLine="0" autoPict="0">
                <anchor moveWithCells="1">
                  <from>
                    <xdr:col>5</xdr:col>
                    <xdr:colOff>47625</xdr:colOff>
                    <xdr:row>115</xdr:row>
                    <xdr:rowOff>180975</xdr:rowOff>
                  </from>
                  <to>
                    <xdr:col>5</xdr:col>
                    <xdr:colOff>419100</xdr:colOff>
                    <xdr:row>117</xdr:row>
                    <xdr:rowOff>38100</xdr:rowOff>
                  </to>
                </anchor>
              </controlPr>
            </control>
          </mc:Choice>
        </mc:AlternateContent>
        <mc:AlternateContent xmlns:mc="http://schemas.openxmlformats.org/markup-compatibility/2006">
          <mc:Choice Requires="x14">
            <control shapeId="96310" r:id="rId27" name="Check Box 54">
              <controlPr defaultSize="0" autoFill="0" autoLine="0" autoPict="0">
                <anchor moveWithCells="1">
                  <from>
                    <xdr:col>5</xdr:col>
                    <xdr:colOff>628650</xdr:colOff>
                    <xdr:row>115</xdr:row>
                    <xdr:rowOff>180975</xdr:rowOff>
                  </from>
                  <to>
                    <xdr:col>5</xdr:col>
                    <xdr:colOff>1000125</xdr:colOff>
                    <xdr:row>117</xdr:row>
                    <xdr:rowOff>38100</xdr:rowOff>
                  </to>
                </anchor>
              </controlPr>
            </control>
          </mc:Choice>
        </mc:AlternateContent>
        <mc:AlternateContent xmlns:mc="http://schemas.openxmlformats.org/markup-compatibility/2006">
          <mc:Choice Requires="x14">
            <control shapeId="96311" r:id="rId28" name="Check Box 55">
              <controlPr locked="0" defaultSize="0" autoFill="0" autoLine="0" autoPict="0">
                <anchor moveWithCells="1">
                  <from>
                    <xdr:col>11</xdr:col>
                    <xdr:colOff>171450</xdr:colOff>
                    <xdr:row>112</xdr:row>
                    <xdr:rowOff>142875</xdr:rowOff>
                  </from>
                  <to>
                    <xdr:col>11</xdr:col>
                    <xdr:colOff>542925</xdr:colOff>
                    <xdr:row>114</xdr:row>
                    <xdr:rowOff>19050</xdr:rowOff>
                  </to>
                </anchor>
              </controlPr>
            </control>
          </mc:Choice>
        </mc:AlternateContent>
        <mc:AlternateContent xmlns:mc="http://schemas.openxmlformats.org/markup-compatibility/2006">
          <mc:Choice Requires="x14">
            <control shapeId="96312" r:id="rId29" name="Check Box 56">
              <controlPr defaultSize="0" autoFill="0" autoLine="0" autoPict="0">
                <anchor moveWithCells="1">
                  <from>
                    <xdr:col>12</xdr:col>
                    <xdr:colOff>66675</xdr:colOff>
                    <xdr:row>112</xdr:row>
                    <xdr:rowOff>142875</xdr:rowOff>
                  </from>
                  <to>
                    <xdr:col>12</xdr:col>
                    <xdr:colOff>438150</xdr:colOff>
                    <xdr:row>114</xdr:row>
                    <xdr:rowOff>19050</xdr:rowOff>
                  </to>
                </anchor>
              </controlPr>
            </control>
          </mc:Choice>
        </mc:AlternateContent>
        <mc:AlternateContent xmlns:mc="http://schemas.openxmlformats.org/markup-compatibility/2006">
          <mc:Choice Requires="x14">
            <control shapeId="96313" r:id="rId30" name="Check Box 57">
              <controlPr locked="0" defaultSize="0" autoFill="0" autoLine="0" autoPict="0">
                <anchor moveWithCells="1">
                  <from>
                    <xdr:col>11</xdr:col>
                    <xdr:colOff>180975</xdr:colOff>
                    <xdr:row>114</xdr:row>
                    <xdr:rowOff>152400</xdr:rowOff>
                  </from>
                  <to>
                    <xdr:col>11</xdr:col>
                    <xdr:colOff>552450</xdr:colOff>
                    <xdr:row>116</xdr:row>
                    <xdr:rowOff>47625</xdr:rowOff>
                  </to>
                </anchor>
              </controlPr>
            </control>
          </mc:Choice>
        </mc:AlternateContent>
        <mc:AlternateContent xmlns:mc="http://schemas.openxmlformats.org/markup-compatibility/2006">
          <mc:Choice Requires="x14">
            <control shapeId="96314" r:id="rId31" name="Check Box 58">
              <controlPr defaultSize="0" autoFill="0" autoLine="0" autoPict="0">
                <anchor moveWithCells="1">
                  <from>
                    <xdr:col>12</xdr:col>
                    <xdr:colOff>76200</xdr:colOff>
                    <xdr:row>114</xdr:row>
                    <xdr:rowOff>152400</xdr:rowOff>
                  </from>
                  <to>
                    <xdr:col>12</xdr:col>
                    <xdr:colOff>447675</xdr:colOff>
                    <xdr:row>116</xdr:row>
                    <xdr:rowOff>47625</xdr:rowOff>
                  </to>
                </anchor>
              </controlPr>
            </control>
          </mc:Choice>
        </mc:AlternateContent>
        <mc:AlternateContent xmlns:mc="http://schemas.openxmlformats.org/markup-compatibility/2006">
          <mc:Choice Requires="x14">
            <control shapeId="96315" r:id="rId32" name="Check Box 59">
              <controlPr locked="0" defaultSize="0" autoFill="0" autoLine="0" autoPict="0">
                <anchor moveWithCells="1">
                  <from>
                    <xdr:col>11</xdr:col>
                    <xdr:colOff>180975</xdr:colOff>
                    <xdr:row>115</xdr:row>
                    <xdr:rowOff>180975</xdr:rowOff>
                  </from>
                  <to>
                    <xdr:col>11</xdr:col>
                    <xdr:colOff>552450</xdr:colOff>
                    <xdr:row>117</xdr:row>
                    <xdr:rowOff>38100</xdr:rowOff>
                  </to>
                </anchor>
              </controlPr>
            </control>
          </mc:Choice>
        </mc:AlternateContent>
        <mc:AlternateContent xmlns:mc="http://schemas.openxmlformats.org/markup-compatibility/2006">
          <mc:Choice Requires="x14">
            <control shapeId="96316" r:id="rId33" name="Check Box 60">
              <controlPr defaultSize="0" autoFill="0" autoLine="0" autoPict="0">
                <anchor moveWithCells="1">
                  <from>
                    <xdr:col>12</xdr:col>
                    <xdr:colOff>76200</xdr:colOff>
                    <xdr:row>115</xdr:row>
                    <xdr:rowOff>180975</xdr:rowOff>
                  </from>
                  <to>
                    <xdr:col>12</xdr:col>
                    <xdr:colOff>447675</xdr:colOff>
                    <xdr:row>117</xdr:row>
                    <xdr:rowOff>38100</xdr:rowOff>
                  </to>
                </anchor>
              </controlPr>
            </control>
          </mc:Choice>
        </mc:AlternateContent>
        <mc:AlternateContent xmlns:mc="http://schemas.openxmlformats.org/markup-compatibility/2006">
          <mc:Choice Requires="x14">
            <control shapeId="96317" r:id="rId34" name="Check Box 61">
              <controlPr locked="0" defaultSize="0" autoFill="0" autoLine="0" autoPict="0">
                <anchor moveWithCells="1">
                  <from>
                    <xdr:col>11</xdr:col>
                    <xdr:colOff>180975</xdr:colOff>
                    <xdr:row>116</xdr:row>
                    <xdr:rowOff>180975</xdr:rowOff>
                  </from>
                  <to>
                    <xdr:col>11</xdr:col>
                    <xdr:colOff>552450</xdr:colOff>
                    <xdr:row>118</xdr:row>
                    <xdr:rowOff>38100</xdr:rowOff>
                  </to>
                </anchor>
              </controlPr>
            </control>
          </mc:Choice>
        </mc:AlternateContent>
        <mc:AlternateContent xmlns:mc="http://schemas.openxmlformats.org/markup-compatibility/2006">
          <mc:Choice Requires="x14">
            <control shapeId="96318" r:id="rId35" name="Check Box 62">
              <controlPr defaultSize="0" autoFill="0" autoLine="0" autoPict="0">
                <anchor moveWithCells="1">
                  <from>
                    <xdr:col>12</xdr:col>
                    <xdr:colOff>76200</xdr:colOff>
                    <xdr:row>116</xdr:row>
                    <xdr:rowOff>180975</xdr:rowOff>
                  </from>
                  <to>
                    <xdr:col>12</xdr:col>
                    <xdr:colOff>447675</xdr:colOff>
                    <xdr:row>118</xdr:row>
                    <xdr:rowOff>38100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58B527"/>
  </sheetPr>
  <dimension ref="A1:N129"/>
  <sheetViews>
    <sheetView showRowColHeaders="0" zoomScaleNormal="100" workbookViewId="0">
      <pane ySplit="8" topLeftCell="A9" activePane="bottomLeft" state="frozen"/>
      <selection activeCell="E9" sqref="E9:F9"/>
      <selection pane="bottomLeft" activeCell="J4" sqref="J4"/>
    </sheetView>
  </sheetViews>
  <sheetFormatPr defaultColWidth="0" defaultRowHeight="15" zeroHeight="1" x14ac:dyDescent="0.25"/>
  <cols>
    <col min="1" max="1" width="4.140625" style="42" customWidth="1"/>
    <col min="2" max="5" width="20.7109375" style="42" customWidth="1"/>
    <col min="6" max="6" width="18.42578125" style="42" customWidth="1"/>
    <col min="7" max="8" width="20.85546875" style="42" customWidth="1"/>
    <col min="9" max="11" width="8.7109375" style="42" customWidth="1"/>
    <col min="12" max="12" width="35.28515625" style="42" hidden="1" customWidth="1"/>
    <col min="13" max="16384" width="9.140625" style="42" hidden="1"/>
  </cols>
  <sheetData>
    <row r="1" spans="1:13" ht="25.5" customHeight="1" x14ac:dyDescent="0.25">
      <c r="A1" s="329" t="s">
        <v>22</v>
      </c>
      <c r="B1" s="215"/>
      <c r="C1" s="215"/>
      <c r="D1" s="215"/>
      <c r="E1" s="215"/>
      <c r="F1" s="210"/>
      <c r="G1" s="210"/>
      <c r="H1" s="210"/>
      <c r="I1" s="210"/>
      <c r="J1" s="210"/>
      <c r="K1" s="210"/>
      <c r="L1" s="409"/>
      <c r="M1" s="409"/>
    </row>
    <row r="2" spans="1:13" ht="15" customHeight="1" x14ac:dyDescent="0.25">
      <c r="A2" s="54"/>
      <c r="B2" s="54"/>
      <c r="C2" s="54"/>
      <c r="D2" s="54"/>
      <c r="E2" s="54"/>
      <c r="F2" s="53"/>
      <c r="G2" s="1426" t="s">
        <v>544</v>
      </c>
      <c r="H2" s="1426"/>
      <c r="I2" s="239" t="s">
        <v>62</v>
      </c>
      <c r="J2" s="239" t="s">
        <v>77</v>
      </c>
      <c r="K2" s="239"/>
    </row>
    <row r="3" spans="1:13" ht="15" customHeight="1" x14ac:dyDescent="0.25">
      <c r="A3" s="54"/>
      <c r="B3" s="54"/>
      <c r="C3" s="54"/>
      <c r="D3" s="54"/>
      <c r="E3" s="54"/>
      <c r="F3" s="53"/>
      <c r="G3" s="1426"/>
      <c r="H3" s="1426"/>
      <c r="I3" s="239" t="s">
        <v>66</v>
      </c>
      <c r="J3" s="239" t="s">
        <v>81</v>
      </c>
      <c r="K3" s="239" t="s">
        <v>79</v>
      </c>
    </row>
    <row r="4" spans="1:13" ht="15" customHeight="1" x14ac:dyDescent="0.25">
      <c r="A4" s="54"/>
      <c r="B4" s="54"/>
      <c r="C4" s="54"/>
      <c r="D4" s="54"/>
      <c r="E4" s="54"/>
      <c r="F4" s="53"/>
      <c r="G4" s="1427"/>
      <c r="H4" s="1427"/>
      <c r="I4" s="239" t="s">
        <v>70</v>
      </c>
      <c r="J4" s="239" t="s">
        <v>102</v>
      </c>
      <c r="K4" s="240"/>
    </row>
    <row r="5" spans="1:13" ht="20.25" customHeight="1" x14ac:dyDescent="0.25">
      <c r="A5" s="1417" t="s">
        <v>2182</v>
      </c>
      <c r="B5" s="1418"/>
      <c r="C5" s="1418"/>
      <c r="D5" s="1418"/>
      <c r="E5" s="1418"/>
      <c r="F5" s="1418"/>
      <c r="G5" s="1418"/>
      <c r="H5" s="1418"/>
      <c r="I5" s="1418"/>
      <c r="J5" s="1418"/>
      <c r="K5" s="1418"/>
      <c r="L5" s="193"/>
      <c r="M5" s="194"/>
    </row>
    <row r="6" spans="1:13" ht="20.25" customHeight="1" x14ac:dyDescent="0.25">
      <c r="A6" s="1420"/>
      <c r="B6" s="1421"/>
      <c r="C6" s="1421"/>
      <c r="D6" s="1421"/>
      <c r="E6" s="1421"/>
      <c r="F6" s="1421"/>
      <c r="G6" s="1421"/>
      <c r="H6" s="1421"/>
      <c r="I6" s="1421"/>
      <c r="J6" s="1421"/>
      <c r="K6" s="1421"/>
      <c r="L6" s="195"/>
      <c r="M6" s="196"/>
    </row>
    <row r="7" spans="1:13" ht="20.25" customHeight="1" x14ac:dyDescent="0.25">
      <c r="A7" s="1423"/>
      <c r="B7" s="1424"/>
      <c r="C7" s="1424"/>
      <c r="D7" s="1424"/>
      <c r="E7" s="1424"/>
      <c r="F7" s="1424"/>
      <c r="G7" s="1424"/>
      <c r="H7" s="1424"/>
      <c r="I7" s="1424"/>
      <c r="J7" s="1424"/>
      <c r="K7" s="1424"/>
      <c r="L7" s="197"/>
      <c r="M7" s="198"/>
    </row>
    <row r="8" spans="1:13" ht="10.5" customHeight="1" x14ac:dyDescent="0.25">
      <c r="A8" s="53"/>
      <c r="B8" s="54"/>
      <c r="C8" s="54"/>
      <c r="D8" s="54"/>
      <c r="E8" s="54"/>
      <c r="F8" s="53"/>
      <c r="G8" s="53"/>
      <c r="H8" s="53"/>
      <c r="I8" s="53"/>
      <c r="J8" s="53"/>
      <c r="K8" s="53"/>
      <c r="L8" s="53"/>
      <c r="M8" s="53"/>
    </row>
    <row r="9" spans="1:13" ht="18" customHeight="1" x14ac:dyDescent="0.25">
      <c r="A9" s="1432" t="s">
        <v>191</v>
      </c>
      <c r="B9" s="1432"/>
      <c r="C9" s="1432"/>
      <c r="D9" s="1432"/>
      <c r="E9" s="1432"/>
      <c r="F9" s="1432"/>
      <c r="G9" s="1432"/>
      <c r="H9" s="1432"/>
      <c r="I9" s="1432"/>
      <c r="J9" s="1432"/>
      <c r="K9" s="1432"/>
    </row>
    <row r="10" spans="1:13" x14ac:dyDescent="0.25">
      <c r="A10" s="53"/>
      <c r="B10" s="54"/>
      <c r="C10" s="54"/>
      <c r="D10" s="54"/>
      <c r="E10" s="54"/>
      <c r="F10" s="53"/>
      <c r="G10" s="53"/>
      <c r="H10" s="53"/>
      <c r="I10" s="53"/>
      <c r="J10" s="53"/>
      <c r="K10" s="53"/>
    </row>
    <row r="11" spans="1:13" ht="16.5" customHeight="1" x14ac:dyDescent="0.25">
      <c r="A11" s="53"/>
      <c r="B11" s="1477" t="s">
        <v>247</v>
      </c>
      <c r="C11" s="1478"/>
      <c r="D11" s="270" t="s">
        <v>129</v>
      </c>
      <c r="E11" s="220"/>
      <c r="F11" s="220"/>
      <c r="G11" s="221"/>
      <c r="H11" s="221"/>
      <c r="I11" s="53"/>
      <c r="J11" s="53"/>
      <c r="K11" s="53"/>
    </row>
    <row r="12" spans="1:13" x14ac:dyDescent="0.25">
      <c r="A12" s="53"/>
      <c r="B12" s="220"/>
      <c r="C12" s="220"/>
      <c r="D12" s="220"/>
      <c r="E12" s="220"/>
      <c r="F12" s="221"/>
      <c r="G12" s="221"/>
      <c r="H12" s="221"/>
      <c r="I12" s="53"/>
      <c r="J12" s="53"/>
      <c r="K12" s="53"/>
    </row>
    <row r="13" spans="1:13" ht="18" customHeight="1" x14ac:dyDescent="0.25">
      <c r="A13" s="53"/>
      <c r="B13" s="1428" t="s">
        <v>207</v>
      </c>
      <c r="C13" s="1429"/>
      <c r="D13" s="1429"/>
      <c r="E13" s="1429"/>
      <c r="F13" s="485" t="s">
        <v>157</v>
      </c>
      <c r="G13" s="485" t="s">
        <v>56</v>
      </c>
      <c r="H13" s="98" t="s">
        <v>521</v>
      </c>
      <c r="I13" s="53"/>
      <c r="J13" s="53"/>
      <c r="K13" s="53"/>
    </row>
    <row r="14" spans="1:13" ht="42" customHeight="1" x14ac:dyDescent="0.25">
      <c r="A14" s="53"/>
      <c r="B14" s="1622" t="s">
        <v>531</v>
      </c>
      <c r="C14" s="1623"/>
      <c r="D14" s="1623"/>
      <c r="E14" s="1624"/>
      <c r="F14" s="59">
        <v>3</v>
      </c>
      <c r="G14" s="59" t="str">
        <f>C63</f>
        <v/>
      </c>
      <c r="H14" s="59" t="str">
        <f>C64</f>
        <v/>
      </c>
      <c r="I14" s="53"/>
      <c r="J14" s="53"/>
      <c r="K14" s="53"/>
    </row>
    <row r="15" spans="1:13" x14ac:dyDescent="0.25">
      <c r="A15" s="53"/>
      <c r="B15" s="222"/>
      <c r="C15" s="222"/>
      <c r="D15" s="222"/>
      <c r="E15" s="222"/>
      <c r="F15" s="223"/>
      <c r="G15" s="223"/>
      <c r="H15" s="223"/>
      <c r="I15" s="53"/>
      <c r="J15" s="53"/>
      <c r="K15" s="53"/>
    </row>
    <row r="16" spans="1:13" ht="18.75" customHeight="1" x14ac:dyDescent="0.25">
      <c r="A16" s="53"/>
      <c r="B16" s="1428" t="s">
        <v>206</v>
      </c>
      <c r="C16" s="1429"/>
      <c r="D16" s="1429"/>
      <c r="E16" s="1429"/>
      <c r="F16" s="485" t="s">
        <v>157</v>
      </c>
      <c r="G16" s="485" t="s">
        <v>522</v>
      </c>
      <c r="H16" s="98" t="s">
        <v>521</v>
      </c>
      <c r="I16" s="53"/>
      <c r="J16" s="53"/>
      <c r="K16" s="53"/>
    </row>
    <row r="17" spans="1:11" ht="42.75" customHeight="1" x14ac:dyDescent="0.25">
      <c r="A17" s="53"/>
      <c r="B17" s="1622" t="s">
        <v>1505</v>
      </c>
      <c r="C17" s="1623"/>
      <c r="D17" s="1623"/>
      <c r="E17" s="1624"/>
      <c r="F17" s="59">
        <v>3</v>
      </c>
      <c r="G17" s="59" t="str">
        <f>C111</f>
        <v/>
      </c>
      <c r="H17" s="59" t="str">
        <f>C112</f>
        <v/>
      </c>
      <c r="I17" s="53"/>
      <c r="J17" s="53"/>
      <c r="K17" s="53"/>
    </row>
    <row r="18" spans="1:11" ht="9" customHeight="1" x14ac:dyDescent="0.25">
      <c r="A18" s="53"/>
      <c r="B18" s="53"/>
      <c r="C18" s="53"/>
      <c r="D18" s="53"/>
      <c r="E18" s="53"/>
      <c r="F18" s="53"/>
      <c r="G18" s="53"/>
      <c r="H18" s="53"/>
      <c r="I18" s="53"/>
      <c r="J18" s="53"/>
      <c r="K18" s="53"/>
    </row>
    <row r="19" spans="1:11" x14ac:dyDescent="0.25">
      <c r="A19" s="53"/>
      <c r="B19" s="647" t="s">
        <v>534</v>
      </c>
      <c r="C19" s="54"/>
      <c r="D19" s="54"/>
      <c r="E19" s="54"/>
      <c r="F19" s="53"/>
      <c r="G19" s="53"/>
      <c r="H19" s="53"/>
      <c r="I19" s="53"/>
      <c r="J19" s="53"/>
      <c r="K19" s="53"/>
    </row>
    <row r="20" spans="1:11" x14ac:dyDescent="0.25">
      <c r="A20" s="53"/>
      <c r="B20" s="647" t="s">
        <v>535</v>
      </c>
      <c r="C20" s="54"/>
      <c r="D20" s="54"/>
      <c r="E20" s="54"/>
      <c r="F20" s="53"/>
      <c r="G20" s="53"/>
      <c r="H20" s="53"/>
      <c r="I20" s="53"/>
      <c r="J20" s="53"/>
      <c r="K20" s="53"/>
    </row>
    <row r="21" spans="1:11" x14ac:dyDescent="0.25">
      <c r="A21" s="53"/>
      <c r="B21" s="54"/>
      <c r="C21" s="54"/>
      <c r="D21" s="54"/>
      <c r="E21" s="54"/>
      <c r="F21" s="53"/>
      <c r="G21" s="53"/>
      <c r="H21" s="53"/>
      <c r="I21" s="53"/>
      <c r="J21" s="53"/>
      <c r="K21" s="53"/>
    </row>
    <row r="22" spans="1:11" ht="18" customHeight="1" x14ac:dyDescent="0.25">
      <c r="A22" s="1432" t="s">
        <v>16</v>
      </c>
      <c r="B22" s="1432"/>
      <c r="C22" s="1432"/>
      <c r="D22" s="1432"/>
      <c r="E22" s="1432"/>
      <c r="F22" s="1432"/>
      <c r="G22" s="1432"/>
      <c r="H22" s="1432"/>
      <c r="I22" s="1432"/>
      <c r="J22" s="1432"/>
      <c r="K22" s="1432"/>
    </row>
    <row r="23" spans="1:11" ht="15" customHeight="1" x14ac:dyDescent="0.25">
      <c r="A23" s="224"/>
      <c r="B23" s="224"/>
      <c r="C23" s="224"/>
      <c r="D23" s="224"/>
      <c r="E23" s="224"/>
      <c r="F23" s="224"/>
      <c r="G23" s="224"/>
      <c r="H23" s="224"/>
      <c r="I23" s="224"/>
      <c r="J23" s="224"/>
      <c r="K23" s="224"/>
    </row>
    <row r="24" spans="1:11" ht="16.5" customHeight="1" x14ac:dyDescent="0.25">
      <c r="A24" s="1410" t="s">
        <v>265</v>
      </c>
      <c r="B24" s="1410"/>
      <c r="C24" s="1410"/>
      <c r="D24" s="224"/>
      <c r="E24" s="224"/>
      <c r="F24" s="224"/>
      <c r="G24" s="224"/>
      <c r="H24" s="224"/>
      <c r="I24" s="224"/>
      <c r="J24" s="224"/>
      <c r="K24" s="224"/>
    </row>
    <row r="25" spans="1:11" ht="15" customHeight="1" x14ac:dyDescent="0.25">
      <c r="A25" s="224"/>
      <c r="B25" s="224"/>
      <c r="C25" s="224"/>
      <c r="D25" s="224"/>
      <c r="E25" s="224"/>
      <c r="F25" s="224"/>
      <c r="G25" s="224"/>
      <c r="H25" s="224"/>
      <c r="I25" s="224"/>
      <c r="J25" s="224"/>
      <c r="K25" s="224"/>
    </row>
    <row r="26" spans="1:11" ht="15" customHeight="1" x14ac:dyDescent="0.25">
      <c r="A26" s="224"/>
      <c r="B26" s="645" t="s">
        <v>1246</v>
      </c>
      <c r="C26" s="224"/>
      <c r="D26" s="224"/>
      <c r="E26" s="224"/>
      <c r="F26" s="224"/>
      <c r="G26" s="224"/>
      <c r="H26" s="224"/>
      <c r="I26" s="224"/>
      <c r="J26" s="224"/>
      <c r="K26" s="224"/>
    </row>
    <row r="27" spans="1:11" ht="15" customHeight="1" x14ac:dyDescent="0.25">
      <c r="A27" s="224"/>
      <c r="B27" s="224"/>
      <c r="C27" s="224"/>
      <c r="D27" s="224"/>
      <c r="E27" s="224"/>
      <c r="F27" s="224"/>
      <c r="G27" s="224"/>
      <c r="H27" s="224"/>
      <c r="I27" s="224"/>
      <c r="J27" s="224"/>
      <c r="K27" s="224"/>
    </row>
    <row r="28" spans="1:11" ht="15" customHeight="1" x14ac:dyDescent="0.25">
      <c r="A28" s="224"/>
      <c r="B28" s="1621" t="s">
        <v>1247</v>
      </c>
      <c r="C28" s="1621"/>
      <c r="D28" s="1621"/>
      <c r="E28" s="1621"/>
      <c r="F28" s="1621"/>
      <c r="G28" s="1621"/>
      <c r="H28" s="1621"/>
      <c r="I28" s="1621"/>
      <c r="J28" s="224"/>
      <c r="K28" s="224"/>
    </row>
    <row r="29" spans="1:11" ht="15" customHeight="1" x14ac:dyDescent="0.25">
      <c r="A29" s="224"/>
      <c r="B29" s="1621"/>
      <c r="C29" s="1621"/>
      <c r="D29" s="1621"/>
      <c r="E29" s="1621"/>
      <c r="F29" s="1621"/>
      <c r="G29" s="1621"/>
      <c r="H29" s="1621"/>
      <c r="I29" s="1621"/>
      <c r="J29" s="224"/>
      <c r="K29" s="224"/>
    </row>
    <row r="30" spans="1:11" ht="15" customHeight="1" x14ac:dyDescent="0.25">
      <c r="A30" s="224"/>
      <c r="B30" s="224"/>
      <c r="C30" s="224"/>
      <c r="D30" s="224"/>
      <c r="E30" s="224"/>
      <c r="F30" s="224"/>
      <c r="G30" s="224"/>
      <c r="H30" s="224"/>
      <c r="I30" s="224"/>
      <c r="J30" s="224"/>
      <c r="K30" s="224"/>
    </row>
    <row r="31" spans="1:11" ht="16.5" customHeight="1" x14ac:dyDescent="0.25">
      <c r="A31" s="1410" t="s">
        <v>26</v>
      </c>
      <c r="B31" s="1410"/>
      <c r="C31" s="1410"/>
      <c r="D31" s="224"/>
      <c r="E31" s="224"/>
      <c r="F31" s="224"/>
      <c r="G31" s="224"/>
      <c r="H31" s="224"/>
      <c r="I31" s="224"/>
      <c r="J31" s="224"/>
      <c r="K31" s="224"/>
    </row>
    <row r="32" spans="1:11" x14ac:dyDescent="0.25">
      <c r="A32" s="224"/>
      <c r="B32" s="224"/>
      <c r="C32" s="224"/>
      <c r="D32" s="224"/>
      <c r="E32" s="224"/>
      <c r="F32" s="224"/>
      <c r="G32" s="224"/>
      <c r="H32" s="224"/>
      <c r="I32" s="224"/>
      <c r="J32" s="224"/>
      <c r="K32" s="224"/>
    </row>
    <row r="33" spans="1:13" ht="15" customHeight="1" x14ac:dyDescent="0.25">
      <c r="A33" s="224"/>
      <c r="B33" s="646" t="s">
        <v>1846</v>
      </c>
      <c r="C33" s="224"/>
      <c r="D33" s="224"/>
      <c r="E33" s="224"/>
      <c r="F33" s="224"/>
      <c r="G33" s="224"/>
      <c r="H33" s="224"/>
      <c r="I33" s="224"/>
      <c r="J33" s="224"/>
      <c r="K33" s="224"/>
    </row>
    <row r="34" spans="1:13" ht="10.5" customHeight="1" x14ac:dyDescent="0.25">
      <c r="A34" s="224"/>
      <c r="B34" s="224"/>
      <c r="C34" s="224"/>
      <c r="D34" s="224"/>
      <c r="E34" s="224"/>
      <c r="F34" s="224"/>
      <c r="G34" s="224"/>
      <c r="H34" s="224"/>
      <c r="I34" s="224"/>
      <c r="J34" s="224"/>
      <c r="K34" s="224"/>
    </row>
    <row r="35" spans="1:13" ht="18" customHeight="1" x14ac:dyDescent="0.25">
      <c r="A35" s="224"/>
      <c r="B35" s="625" t="s">
        <v>256</v>
      </c>
      <c r="C35" s="623" t="s">
        <v>28</v>
      </c>
      <c r="D35" s="623" t="s">
        <v>29</v>
      </c>
      <c r="E35" s="623" t="s">
        <v>523</v>
      </c>
      <c r="F35" s="623" t="s">
        <v>524</v>
      </c>
      <c r="G35" s="624" t="s">
        <v>257</v>
      </c>
      <c r="H35" s="213"/>
      <c r="I35" s="213"/>
      <c r="J35" s="213"/>
      <c r="K35" s="213"/>
      <c r="L35" s="53"/>
      <c r="M35" s="54"/>
    </row>
    <row r="36" spans="1:13" x14ac:dyDescent="0.25">
      <c r="A36" s="224"/>
      <c r="B36" s="184"/>
      <c r="C36" s="984"/>
      <c r="D36" s="184"/>
      <c r="E36" s="984"/>
      <c r="F36" s="184"/>
      <c r="G36" s="228" t="str">
        <f>IFERROR(F36/E36,"")</f>
        <v/>
      </c>
      <c r="H36" s="213"/>
      <c r="I36" s="213"/>
      <c r="J36" s="213"/>
      <c r="K36" s="213"/>
      <c r="L36" s="53"/>
      <c r="M36" s="54"/>
    </row>
    <row r="37" spans="1:13" x14ac:dyDescent="0.25">
      <c r="A37" s="224"/>
      <c r="B37" s="184"/>
      <c r="C37" s="984"/>
      <c r="D37" s="184"/>
      <c r="E37" s="984"/>
      <c r="F37" s="184"/>
      <c r="G37" s="228" t="str">
        <f>IFERROR(F37/E37,"")</f>
        <v/>
      </c>
      <c r="H37" s="213"/>
      <c r="I37" s="213"/>
      <c r="J37" s="213"/>
      <c r="K37" s="213"/>
      <c r="L37" s="53"/>
      <c r="M37" s="54"/>
    </row>
    <row r="38" spans="1:13" x14ac:dyDescent="0.25">
      <c r="A38" s="224"/>
      <c r="B38" s="184"/>
      <c r="C38" s="984"/>
      <c r="D38" s="184"/>
      <c r="E38" s="984"/>
      <c r="F38" s="184"/>
      <c r="G38" s="228" t="str">
        <f>IFERROR(F38/E38,"")</f>
        <v/>
      </c>
      <c r="H38" s="213"/>
      <c r="I38" s="213"/>
      <c r="J38" s="213"/>
      <c r="K38" s="213"/>
      <c r="L38" s="53"/>
      <c r="M38" s="54"/>
    </row>
    <row r="39" spans="1:13" x14ac:dyDescent="0.25">
      <c r="A39" s="224"/>
      <c r="B39" s="184"/>
      <c r="C39" s="984"/>
      <c r="D39" s="184"/>
      <c r="E39" s="984"/>
      <c r="F39" s="184"/>
      <c r="G39" s="228" t="str">
        <f>IFERROR(F39/E39,"")</f>
        <v/>
      </c>
      <c r="H39" s="213"/>
      <c r="I39" s="213"/>
      <c r="J39" s="213"/>
      <c r="K39" s="213"/>
      <c r="L39" s="53"/>
      <c r="M39" s="54"/>
    </row>
    <row r="40" spans="1:13" x14ac:dyDescent="0.25">
      <c r="A40" s="224"/>
      <c r="B40" s="184"/>
      <c r="C40" s="984"/>
      <c r="D40" s="184"/>
      <c r="E40" s="984"/>
      <c r="F40" s="184"/>
      <c r="G40" s="228" t="str">
        <f>IFERROR(F40/E40,"")</f>
        <v/>
      </c>
      <c r="H40" s="213"/>
      <c r="I40" s="213"/>
      <c r="J40" s="213"/>
      <c r="K40" s="213"/>
      <c r="L40" s="53"/>
      <c r="M40" s="54"/>
    </row>
    <row r="41" spans="1:13" x14ac:dyDescent="0.25">
      <c r="A41" s="224"/>
      <c r="B41" s="184"/>
      <c r="C41" s="984"/>
      <c r="D41" s="184"/>
      <c r="E41" s="984"/>
      <c r="F41" s="184"/>
      <c r="G41" s="228"/>
      <c r="H41" s="213"/>
      <c r="I41" s="213"/>
      <c r="J41" s="213"/>
      <c r="K41" s="213"/>
      <c r="L41" s="53"/>
      <c r="M41" s="54"/>
    </row>
    <row r="42" spans="1:13" x14ac:dyDescent="0.25">
      <c r="A42" s="224"/>
      <c r="B42" s="184"/>
      <c r="C42" s="984"/>
      <c r="D42" s="184"/>
      <c r="E42" s="984"/>
      <c r="F42" s="184"/>
      <c r="G42" s="228"/>
      <c r="H42" s="213"/>
      <c r="I42" s="213"/>
      <c r="J42" s="213"/>
      <c r="K42" s="213"/>
      <c r="L42" s="53"/>
      <c r="M42" s="54"/>
    </row>
    <row r="43" spans="1:13" x14ac:dyDescent="0.25">
      <c r="A43" s="224"/>
      <c r="B43" s="184"/>
      <c r="C43" s="984"/>
      <c r="D43" s="184"/>
      <c r="E43" s="984"/>
      <c r="F43" s="184"/>
      <c r="G43" s="228"/>
      <c r="H43" s="213"/>
      <c r="I43" s="213"/>
      <c r="J43" s="213"/>
      <c r="K43" s="213"/>
      <c r="L43" s="53"/>
      <c r="M43" s="54"/>
    </row>
    <row r="44" spans="1:13" x14ac:dyDescent="0.25">
      <c r="A44" s="224"/>
      <c r="B44" s="184"/>
      <c r="C44" s="984"/>
      <c r="D44" s="184"/>
      <c r="E44" s="984"/>
      <c r="F44" s="184"/>
      <c r="G44" s="228"/>
      <c r="H44" s="213"/>
      <c r="I44" s="213"/>
      <c r="J44" s="213"/>
      <c r="K44" s="213"/>
      <c r="L44" s="53"/>
      <c r="M44" s="54"/>
    </row>
    <row r="45" spans="1:13" x14ac:dyDescent="0.25">
      <c r="A45" s="224"/>
      <c r="B45" s="184"/>
      <c r="C45" s="984"/>
      <c r="D45" s="184"/>
      <c r="E45" s="984"/>
      <c r="F45" s="184"/>
      <c r="G45" s="228"/>
      <c r="H45" s="213"/>
      <c r="I45" s="213"/>
      <c r="J45" s="213"/>
      <c r="K45" s="213"/>
      <c r="L45" s="53"/>
      <c r="M45" s="54"/>
    </row>
    <row r="46" spans="1:13" x14ac:dyDescent="0.25">
      <c r="A46" s="224"/>
      <c r="B46" s="184"/>
      <c r="C46" s="984"/>
      <c r="D46" s="184"/>
      <c r="E46" s="984"/>
      <c r="F46" s="184"/>
      <c r="G46" s="228"/>
      <c r="H46" s="213"/>
      <c r="I46" s="213"/>
      <c r="J46" s="213"/>
      <c r="K46" s="213"/>
      <c r="L46" s="53"/>
      <c r="M46" s="54"/>
    </row>
    <row r="47" spans="1:13" x14ac:dyDescent="0.25">
      <c r="A47" s="224"/>
      <c r="B47" s="184"/>
      <c r="C47" s="984"/>
      <c r="D47" s="184"/>
      <c r="E47" s="984"/>
      <c r="F47" s="184"/>
      <c r="G47" s="228"/>
      <c r="H47" s="213"/>
      <c r="I47" s="213"/>
      <c r="J47" s="213"/>
      <c r="K47" s="213"/>
      <c r="L47" s="53"/>
      <c r="M47" s="54"/>
    </row>
    <row r="48" spans="1:13" x14ac:dyDescent="0.25">
      <c r="A48" s="224"/>
      <c r="B48" s="184"/>
      <c r="C48" s="984"/>
      <c r="D48" s="184"/>
      <c r="E48" s="984"/>
      <c r="F48" s="184"/>
      <c r="G48" s="228"/>
      <c r="H48" s="213"/>
      <c r="I48" s="213"/>
      <c r="J48" s="213"/>
      <c r="K48" s="213"/>
      <c r="L48" s="53"/>
      <c r="M48" s="54"/>
    </row>
    <row r="49" spans="1:14" x14ac:dyDescent="0.25">
      <c r="A49" s="224"/>
      <c r="B49" s="184"/>
      <c r="C49" s="984"/>
      <c r="D49" s="184"/>
      <c r="E49" s="984"/>
      <c r="F49" s="184"/>
      <c r="G49" s="228"/>
      <c r="H49" s="213"/>
      <c r="I49" s="213"/>
      <c r="J49" s="213"/>
      <c r="K49" s="213"/>
      <c r="L49" s="53"/>
      <c r="M49" s="54"/>
    </row>
    <row r="50" spans="1:14" x14ac:dyDescent="0.25">
      <c r="A50" s="224"/>
      <c r="B50" s="184"/>
      <c r="C50" s="984"/>
      <c r="D50" s="184"/>
      <c r="E50" s="984"/>
      <c r="F50" s="184"/>
      <c r="G50" s="228" t="str">
        <f>IFERROR(F50/E50,"")</f>
        <v/>
      </c>
      <c r="H50" s="213"/>
      <c r="I50" s="213"/>
      <c r="J50" s="213"/>
      <c r="K50" s="224"/>
    </row>
    <row r="51" spans="1:14" ht="15" customHeight="1" x14ac:dyDescent="0.25">
      <c r="A51" s="224"/>
      <c r="B51" s="224"/>
      <c r="C51" s="224"/>
      <c r="D51" s="224"/>
      <c r="E51" s="224"/>
      <c r="F51" s="229" t="s">
        <v>530</v>
      </c>
      <c r="G51" s="230" t="str">
        <f>IFERROR(SUMPRODUCT(G36:G50,D36:D50,E36:E50)/SUMPRODUCT(D36:D50,E36:E50),"")</f>
        <v/>
      </c>
      <c r="H51" s="224"/>
      <c r="I51" s="231"/>
      <c r="J51" s="231"/>
      <c r="K51" s="224"/>
    </row>
    <row r="52" spans="1:14" ht="15" customHeight="1" x14ac:dyDescent="0.25">
      <c r="A52" s="224"/>
      <c r="B52" s="224"/>
      <c r="C52" s="224"/>
      <c r="D52" s="224"/>
      <c r="E52" s="224"/>
      <c r="F52" s="224"/>
      <c r="G52" s="224"/>
      <c r="H52" s="224"/>
      <c r="I52" s="231"/>
      <c r="J52" s="231"/>
      <c r="K52" s="224"/>
    </row>
    <row r="53" spans="1:14" ht="18" customHeight="1" x14ac:dyDescent="0.25">
      <c r="A53" s="224"/>
      <c r="B53" s="1494" t="s">
        <v>1239</v>
      </c>
      <c r="C53" s="1494"/>
      <c r="D53" s="219" t="str">
        <f>IF(G51="","",IF(G51&gt;=80,"80 lm/W",IF(G51&gt;=70,"70 lm/W",IF(G51&gt;=60,"60 lm/W",""))))</f>
        <v/>
      </c>
      <c r="E53" s="234" t="str">
        <f>IF(D53="60 lm/W","→ 1 point can be achieved by submitting required documentation",IF(D53="70 lm/W","→ 2 points can be achieved by submitting required documentation",IF(D53="80 lm/W","→ 3 points can be achieved by submitting required documentation","")))</f>
        <v/>
      </c>
      <c r="F53" s="224"/>
      <c r="G53" s="224"/>
      <c r="H53" s="224"/>
      <c r="I53" s="224"/>
      <c r="J53" s="224"/>
      <c r="K53" s="224"/>
    </row>
    <row r="54" spans="1:14" ht="18" customHeight="1" x14ac:dyDescent="0.25">
      <c r="A54" s="224"/>
      <c r="B54" s="224"/>
      <c r="C54" s="224"/>
      <c r="D54" s="224"/>
      <c r="E54" s="224"/>
      <c r="F54" s="224"/>
      <c r="G54" s="224"/>
      <c r="H54" s="224"/>
      <c r="I54" s="224"/>
      <c r="J54" s="224"/>
      <c r="K54" s="224"/>
    </row>
    <row r="55" spans="1:14" ht="16.5" customHeight="1" x14ac:dyDescent="0.25">
      <c r="A55" s="1410" t="s">
        <v>200</v>
      </c>
      <c r="B55" s="1410"/>
      <c r="C55" s="1410"/>
      <c r="D55" s="213"/>
      <c r="E55" s="213"/>
      <c r="F55" s="213"/>
      <c r="G55" s="213"/>
      <c r="H55" s="213"/>
      <c r="I55" s="213"/>
      <c r="J55" s="213"/>
      <c r="K55" s="213"/>
      <c r="L55" s="53"/>
      <c r="M55" s="53"/>
      <c r="N55" s="53"/>
    </row>
    <row r="56" spans="1:14" ht="16.5" customHeight="1" x14ac:dyDescent="0.25">
      <c r="A56" s="213"/>
      <c r="B56" s="213"/>
      <c r="C56" s="213"/>
      <c r="D56" s="213"/>
      <c r="E56" s="213"/>
      <c r="F56" s="213"/>
      <c r="G56" s="213"/>
      <c r="H56" s="213"/>
      <c r="I56" s="213"/>
      <c r="J56" s="213"/>
      <c r="K56" s="213"/>
      <c r="L56" s="53"/>
      <c r="M56" s="53"/>
      <c r="N56" s="53"/>
    </row>
    <row r="57" spans="1:14" ht="18" customHeight="1" x14ac:dyDescent="0.25">
      <c r="A57" s="213"/>
      <c r="B57" s="1446" t="s">
        <v>2103</v>
      </c>
      <c r="C57" s="1447"/>
      <c r="D57" s="1447"/>
      <c r="E57" s="1447"/>
      <c r="F57" s="1447"/>
      <c r="G57" s="1045" t="s">
        <v>2101</v>
      </c>
      <c r="H57" s="1443" t="s">
        <v>2102</v>
      </c>
      <c r="I57" s="1444"/>
      <c r="J57" s="213"/>
      <c r="K57" s="213"/>
      <c r="L57" s="53"/>
      <c r="M57" s="53"/>
      <c r="N57" s="53"/>
    </row>
    <row r="58" spans="1:14" ht="21" customHeight="1" x14ac:dyDescent="0.25">
      <c r="A58" s="213"/>
      <c r="B58" s="1436" t="s">
        <v>1240</v>
      </c>
      <c r="C58" s="1437"/>
      <c r="D58" s="1437"/>
      <c r="E58" s="1437"/>
      <c r="F58" s="1438"/>
      <c r="G58" s="633" t="s">
        <v>129</v>
      </c>
      <c r="H58" s="1441"/>
      <c r="I58" s="1442"/>
      <c r="J58" s="213"/>
      <c r="K58" s="213"/>
      <c r="L58" s="53"/>
      <c r="M58" s="53"/>
      <c r="N58" s="53"/>
    </row>
    <row r="59" spans="1:14" ht="21" customHeight="1" x14ac:dyDescent="0.25">
      <c r="A59" s="213"/>
      <c r="B59" s="1436" t="s">
        <v>1245</v>
      </c>
      <c r="C59" s="1437"/>
      <c r="D59" s="1437"/>
      <c r="E59" s="1437"/>
      <c r="F59" s="1438"/>
      <c r="G59" s="633" t="s">
        <v>129</v>
      </c>
      <c r="H59" s="1441"/>
      <c r="I59" s="1442"/>
      <c r="J59" s="213"/>
      <c r="K59" s="213"/>
      <c r="L59" s="53"/>
      <c r="M59" s="53"/>
      <c r="N59" s="53"/>
    </row>
    <row r="60" spans="1:14" ht="18" customHeight="1" x14ac:dyDescent="0.25">
      <c r="A60" s="213"/>
      <c r="B60" s="213"/>
      <c r="C60" s="213"/>
      <c r="D60" s="213"/>
      <c r="E60" s="213"/>
      <c r="F60" s="213"/>
      <c r="G60" s="213"/>
      <c r="H60" s="213"/>
      <c r="I60" s="213"/>
      <c r="J60" s="213"/>
      <c r="K60" s="213"/>
      <c r="L60" s="53"/>
      <c r="M60" s="53"/>
      <c r="N60" s="53"/>
    </row>
    <row r="61" spans="1:14" ht="16.5" customHeight="1" x14ac:dyDescent="0.25">
      <c r="A61" s="1410" t="s">
        <v>25</v>
      </c>
      <c r="B61" s="1410"/>
      <c r="C61" s="1410"/>
      <c r="D61" s="213"/>
      <c r="E61" s="213"/>
      <c r="F61" s="213"/>
      <c r="G61" s="213"/>
      <c r="H61" s="213"/>
      <c r="I61" s="213"/>
      <c r="J61" s="213"/>
      <c r="K61" s="213"/>
    </row>
    <row r="62" spans="1:14" ht="12" customHeight="1" x14ac:dyDescent="0.25">
      <c r="A62" s="224"/>
      <c r="B62" s="224"/>
      <c r="C62" s="224"/>
      <c r="D62" s="224"/>
      <c r="E62" s="224"/>
      <c r="F62" s="213"/>
      <c r="G62" s="213"/>
      <c r="H62" s="213"/>
      <c r="I62" s="213"/>
      <c r="J62" s="213"/>
      <c r="K62" s="213"/>
    </row>
    <row r="63" spans="1:14" ht="17.25" customHeight="1" x14ac:dyDescent="0.25">
      <c r="A63" s="224"/>
      <c r="B63" s="232" t="s">
        <v>56</v>
      </c>
      <c r="C63" s="12" t="str">
        <f>IF(D11="Prescriptive Path",IF(D53="",0,IF(D53="80 lm/W",3,IF(D53="70 lm/W",2,IF(D53="60 lm/W",1,0)))),"")</f>
        <v/>
      </c>
      <c r="D63" s="224"/>
      <c r="E63" s="213"/>
      <c r="F63" s="213"/>
      <c r="G63" s="213"/>
      <c r="H63" s="213"/>
      <c r="I63" s="213"/>
      <c r="J63" s="213"/>
      <c r="K63" s="213"/>
    </row>
    <row r="64" spans="1:14" ht="17.25" customHeight="1" x14ac:dyDescent="0.25">
      <c r="A64" s="224"/>
      <c r="B64" s="232" t="s">
        <v>521</v>
      </c>
      <c r="C64" s="12" t="str">
        <f>IF(D11="Prescriptive Path",IF(AND(G58="Submitted",G59="Submitted",C63&gt;0),"Yes","No"),"")</f>
        <v/>
      </c>
      <c r="D64" s="224"/>
      <c r="E64" s="224"/>
      <c r="F64" s="213"/>
      <c r="G64" s="213"/>
      <c r="H64" s="213"/>
      <c r="I64" s="213"/>
      <c r="J64" s="213"/>
      <c r="K64" s="213"/>
    </row>
    <row r="65" spans="1:11" ht="17.25" customHeight="1" x14ac:dyDescent="0.25">
      <c r="A65" s="225"/>
      <c r="B65" s="225"/>
      <c r="C65" s="225"/>
      <c r="D65" s="225"/>
      <c r="E65" s="225"/>
      <c r="F65" s="225"/>
      <c r="G65" s="225"/>
      <c r="H65" s="225"/>
      <c r="I65" s="225"/>
      <c r="J65" s="225"/>
      <c r="K65" s="225"/>
    </row>
    <row r="66" spans="1:11" ht="18" customHeight="1" x14ac:dyDescent="0.25">
      <c r="A66" s="1432" t="s">
        <v>15</v>
      </c>
      <c r="B66" s="1432"/>
      <c r="C66" s="1432"/>
      <c r="D66" s="1432"/>
      <c r="E66" s="1432"/>
      <c r="F66" s="1432"/>
      <c r="G66" s="1432"/>
      <c r="H66" s="1432"/>
      <c r="I66" s="1432"/>
      <c r="J66" s="1432"/>
      <c r="K66" s="1432"/>
    </row>
    <row r="67" spans="1:11" ht="15" customHeight="1" x14ac:dyDescent="0.25">
      <c r="A67" s="227"/>
      <c r="B67" s="227"/>
      <c r="C67" s="227"/>
      <c r="D67" s="227"/>
      <c r="E67" s="227"/>
      <c r="F67" s="227"/>
      <c r="G67" s="227"/>
      <c r="H67" s="227"/>
      <c r="I67" s="227"/>
      <c r="J67" s="227"/>
      <c r="K67" s="227"/>
    </row>
    <row r="68" spans="1:11" ht="15" customHeight="1" x14ac:dyDescent="0.25">
      <c r="A68" s="1410" t="s">
        <v>265</v>
      </c>
      <c r="B68" s="1410"/>
      <c r="C68" s="1410"/>
      <c r="D68" s="227"/>
      <c r="E68" s="227"/>
      <c r="F68" s="227"/>
      <c r="G68" s="227"/>
      <c r="H68" s="227"/>
      <c r="I68" s="227"/>
      <c r="J68" s="227"/>
      <c r="K68" s="227"/>
    </row>
    <row r="69" spans="1:11" ht="15" customHeight="1" x14ac:dyDescent="0.25">
      <c r="A69" s="227"/>
      <c r="B69" s="227"/>
      <c r="C69" s="227"/>
      <c r="D69" s="227"/>
      <c r="E69" s="227"/>
      <c r="F69" s="227"/>
      <c r="G69" s="227"/>
      <c r="H69" s="227"/>
      <c r="I69" s="227"/>
      <c r="J69" s="227"/>
      <c r="K69" s="227"/>
    </row>
    <row r="70" spans="1:11" ht="15" customHeight="1" x14ac:dyDescent="0.25">
      <c r="A70" s="227"/>
      <c r="B70" s="701" t="s">
        <v>1321</v>
      </c>
      <c r="C70" s="227"/>
      <c r="D70" s="227"/>
      <c r="E70" s="227"/>
      <c r="F70" s="227"/>
      <c r="G70" s="227"/>
      <c r="H70" s="227"/>
      <c r="I70" s="227"/>
      <c r="J70" s="227"/>
      <c r="K70" s="227"/>
    </row>
    <row r="71" spans="1:11" ht="18" customHeight="1" x14ac:dyDescent="0.25">
      <c r="A71" s="227"/>
      <c r="B71" s="227"/>
      <c r="C71" s="227"/>
      <c r="D71" s="227"/>
      <c r="E71" s="227"/>
      <c r="F71" s="227"/>
      <c r="G71" s="227"/>
      <c r="H71" s="227"/>
      <c r="I71" s="227"/>
      <c r="J71" s="227"/>
      <c r="K71" s="227"/>
    </row>
    <row r="72" spans="1:11" ht="15" customHeight="1" x14ac:dyDescent="0.25">
      <c r="A72" s="227"/>
      <c r="B72" s="698" t="s">
        <v>1322</v>
      </c>
      <c r="C72" s="227"/>
      <c r="D72" s="227"/>
      <c r="E72" s="227"/>
      <c r="F72" s="227"/>
      <c r="G72" s="227"/>
      <c r="H72" s="227"/>
      <c r="I72" s="227"/>
      <c r="J72" s="227"/>
      <c r="K72" s="227"/>
    </row>
    <row r="73" spans="1:11" ht="15" customHeight="1" x14ac:dyDescent="0.25">
      <c r="A73" s="227"/>
      <c r="B73" s="698" t="s">
        <v>1323</v>
      </c>
      <c r="C73" s="227"/>
      <c r="D73" s="227"/>
      <c r="E73" s="227"/>
      <c r="F73" s="227"/>
      <c r="G73" s="227"/>
      <c r="H73" s="227"/>
      <c r="I73" s="227"/>
      <c r="J73" s="227"/>
      <c r="K73" s="227"/>
    </row>
    <row r="74" spans="1:11" ht="13.5" customHeight="1" x14ac:dyDescent="0.25">
      <c r="A74" s="227"/>
      <c r="B74" s="698"/>
      <c r="C74" s="227"/>
      <c r="D74" s="227"/>
      <c r="E74" s="227"/>
      <c r="F74" s="227"/>
      <c r="G74" s="227"/>
      <c r="H74" s="227"/>
      <c r="I74" s="227"/>
      <c r="J74" s="227"/>
      <c r="K74" s="227"/>
    </row>
    <row r="75" spans="1:11" ht="15" customHeight="1" x14ac:dyDescent="0.25">
      <c r="A75" s="227"/>
      <c r="B75" s="867" t="s">
        <v>534</v>
      </c>
      <c r="C75" s="227"/>
      <c r="D75" s="227"/>
      <c r="E75" s="227"/>
      <c r="F75" s="227"/>
      <c r="G75" s="227"/>
      <c r="H75" s="227"/>
      <c r="I75" s="227"/>
      <c r="J75" s="227"/>
      <c r="K75" s="227"/>
    </row>
    <row r="76" spans="1:11" ht="15" customHeight="1" x14ac:dyDescent="0.25">
      <c r="A76" s="227"/>
      <c r="B76" s="867" t="s">
        <v>535</v>
      </c>
      <c r="C76" s="227"/>
      <c r="D76" s="227"/>
      <c r="E76" s="227"/>
      <c r="F76" s="227"/>
      <c r="G76" s="227"/>
      <c r="H76" s="227"/>
      <c r="I76" s="227"/>
      <c r="J76" s="227"/>
      <c r="K76" s="227"/>
    </row>
    <row r="77" spans="1:11" ht="15" customHeight="1" x14ac:dyDescent="0.25">
      <c r="A77" s="227"/>
      <c r="B77" s="227"/>
      <c r="C77" s="227"/>
      <c r="D77" s="227"/>
      <c r="E77" s="227"/>
      <c r="F77" s="227"/>
      <c r="G77" s="227"/>
      <c r="H77" s="227"/>
      <c r="I77" s="227"/>
      <c r="J77" s="227"/>
      <c r="K77" s="227"/>
    </row>
    <row r="78" spans="1:11" ht="16.5" customHeight="1" x14ac:dyDescent="0.25">
      <c r="A78" s="1410" t="s">
        <v>26</v>
      </c>
      <c r="B78" s="1410"/>
      <c r="C78" s="1410"/>
      <c r="D78" s="227"/>
      <c r="E78" s="227"/>
      <c r="F78" s="227"/>
      <c r="G78" s="227"/>
      <c r="H78" s="227"/>
      <c r="I78" s="227"/>
      <c r="J78" s="227"/>
      <c r="K78" s="227"/>
    </row>
    <row r="79" spans="1:11" ht="12" customHeight="1" x14ac:dyDescent="0.25">
      <c r="A79" s="227"/>
      <c r="B79" s="227"/>
      <c r="C79" s="227"/>
      <c r="D79" s="227"/>
      <c r="E79" s="227"/>
      <c r="F79" s="227"/>
      <c r="G79" s="227"/>
      <c r="H79" s="227"/>
      <c r="I79" s="227"/>
      <c r="J79" s="227"/>
      <c r="K79" s="227"/>
    </row>
    <row r="80" spans="1:11" x14ac:dyDescent="0.25">
      <c r="A80" s="227"/>
      <c r="B80" s="659" t="s">
        <v>1320</v>
      </c>
      <c r="C80" s="227"/>
      <c r="D80" s="227"/>
      <c r="E80" s="227"/>
      <c r="F80" s="214"/>
      <c r="G80" s="214"/>
      <c r="H80" s="214"/>
      <c r="I80" s="227"/>
      <c r="J80" s="227"/>
      <c r="K80" s="227"/>
    </row>
    <row r="81" spans="1:12" x14ac:dyDescent="0.25">
      <c r="A81" s="227"/>
      <c r="B81" s="233"/>
      <c r="C81" s="227"/>
      <c r="D81" s="990"/>
      <c r="E81" s="227"/>
      <c r="F81" s="214"/>
      <c r="G81" s="214"/>
      <c r="H81" s="214"/>
      <c r="I81" s="227"/>
      <c r="J81" s="227"/>
      <c r="K81" s="227"/>
    </row>
    <row r="82" spans="1:12" ht="18" customHeight="1" x14ac:dyDescent="0.25">
      <c r="A82" s="227"/>
      <c r="B82" s="1625" t="s">
        <v>27</v>
      </c>
      <c r="C82" s="1626"/>
      <c r="D82" s="920"/>
      <c r="E82" s="227"/>
      <c r="F82" s="227"/>
      <c r="G82" s="227"/>
      <c r="H82" s="227"/>
      <c r="I82" s="227"/>
      <c r="J82" s="227"/>
      <c r="K82" s="227"/>
    </row>
    <row r="83" spans="1:12" x14ac:dyDescent="0.25">
      <c r="A83" s="227"/>
      <c r="B83" s="227"/>
      <c r="C83" s="227"/>
      <c r="D83" s="227"/>
      <c r="E83" s="227"/>
      <c r="F83" s="227"/>
      <c r="G83" s="227"/>
      <c r="H83" s="227"/>
      <c r="I83" s="227"/>
      <c r="J83" s="227"/>
      <c r="K83" s="227"/>
    </row>
    <row r="84" spans="1:12" ht="18" customHeight="1" x14ac:dyDescent="0.25">
      <c r="A84" s="227"/>
      <c r="B84" s="99" t="s">
        <v>256</v>
      </c>
      <c r="C84" s="99" t="s">
        <v>28</v>
      </c>
      <c r="D84" s="99" t="s">
        <v>29</v>
      </c>
      <c r="E84" s="99" t="s">
        <v>30</v>
      </c>
      <c r="F84" s="199" t="s">
        <v>31</v>
      </c>
      <c r="G84" s="99" t="s">
        <v>32</v>
      </c>
      <c r="H84" s="227"/>
      <c r="I84" s="227"/>
      <c r="J84" s="227"/>
      <c r="K84" s="227"/>
      <c r="L84" s="53"/>
    </row>
    <row r="85" spans="1:12" x14ac:dyDescent="0.25">
      <c r="A85" s="227"/>
      <c r="B85" s="984"/>
      <c r="C85" s="184"/>
      <c r="D85" s="184"/>
      <c r="E85" s="184"/>
      <c r="F85" s="184"/>
      <c r="G85" s="67">
        <f>IFERROR(D85*E85+F85,"")</f>
        <v>0</v>
      </c>
      <c r="H85" s="227"/>
      <c r="I85" s="227"/>
      <c r="J85" s="227"/>
      <c r="K85" s="227"/>
      <c r="L85" s="53"/>
    </row>
    <row r="86" spans="1:12" x14ac:dyDescent="0.25">
      <c r="A86" s="227"/>
      <c r="B86" s="984"/>
      <c r="C86" s="184"/>
      <c r="D86" s="184"/>
      <c r="E86" s="184"/>
      <c r="F86" s="184"/>
      <c r="G86" s="67">
        <f t="shared" ref="G86:G99" si="0">IFERROR(D86*E86+F86,"")</f>
        <v>0</v>
      </c>
      <c r="H86" s="227"/>
      <c r="I86" s="227"/>
      <c r="J86" s="227"/>
      <c r="K86" s="227"/>
      <c r="L86" s="53"/>
    </row>
    <row r="87" spans="1:12" x14ac:dyDescent="0.25">
      <c r="A87" s="227"/>
      <c r="B87" s="984"/>
      <c r="C87" s="184"/>
      <c r="D87" s="184"/>
      <c r="E87" s="184"/>
      <c r="F87" s="184"/>
      <c r="G87" s="67">
        <f t="shared" si="0"/>
        <v>0</v>
      </c>
      <c r="H87" s="227"/>
      <c r="I87" s="227"/>
      <c r="J87" s="227"/>
      <c r="K87" s="227"/>
      <c r="L87" s="53"/>
    </row>
    <row r="88" spans="1:12" x14ac:dyDescent="0.25">
      <c r="A88" s="227"/>
      <c r="B88" s="984"/>
      <c r="C88" s="184"/>
      <c r="D88" s="184"/>
      <c r="E88" s="184"/>
      <c r="F88" s="184"/>
      <c r="G88" s="67">
        <f t="shared" si="0"/>
        <v>0</v>
      </c>
      <c r="H88" s="227"/>
      <c r="I88" s="227"/>
      <c r="J88" s="227"/>
      <c r="K88" s="227"/>
      <c r="L88" s="53"/>
    </row>
    <row r="89" spans="1:12" x14ac:dyDescent="0.25">
      <c r="A89" s="227"/>
      <c r="B89" s="984"/>
      <c r="C89" s="184"/>
      <c r="D89" s="184"/>
      <c r="E89" s="184"/>
      <c r="F89" s="184"/>
      <c r="G89" s="67">
        <f t="shared" si="0"/>
        <v>0</v>
      </c>
      <c r="H89" s="227"/>
      <c r="I89" s="227"/>
      <c r="J89" s="227"/>
      <c r="K89" s="227"/>
      <c r="L89" s="53"/>
    </row>
    <row r="90" spans="1:12" x14ac:dyDescent="0.25">
      <c r="A90" s="227"/>
      <c r="B90" s="984"/>
      <c r="C90" s="184"/>
      <c r="D90" s="184"/>
      <c r="E90" s="184"/>
      <c r="F90" s="184"/>
      <c r="G90" s="67">
        <f t="shared" si="0"/>
        <v>0</v>
      </c>
      <c r="H90" s="227"/>
      <c r="I90" s="227"/>
      <c r="J90" s="227"/>
      <c r="K90" s="227"/>
      <c r="L90" s="53"/>
    </row>
    <row r="91" spans="1:12" x14ac:dyDescent="0.25">
      <c r="A91" s="227"/>
      <c r="B91" s="984"/>
      <c r="C91" s="184"/>
      <c r="D91" s="184"/>
      <c r="E91" s="184"/>
      <c r="F91" s="184"/>
      <c r="G91" s="67">
        <f t="shared" si="0"/>
        <v>0</v>
      </c>
      <c r="H91" s="227"/>
      <c r="I91" s="227"/>
      <c r="J91" s="227"/>
      <c r="K91" s="227"/>
      <c r="L91" s="53"/>
    </row>
    <row r="92" spans="1:12" x14ac:dyDescent="0.25">
      <c r="A92" s="227"/>
      <c r="B92" s="984"/>
      <c r="C92" s="184"/>
      <c r="D92" s="184"/>
      <c r="E92" s="184"/>
      <c r="F92" s="184"/>
      <c r="G92" s="67">
        <f t="shared" si="0"/>
        <v>0</v>
      </c>
      <c r="H92" s="227"/>
      <c r="I92" s="227"/>
      <c r="J92" s="227"/>
      <c r="K92" s="227"/>
      <c r="L92" s="53"/>
    </row>
    <row r="93" spans="1:12" x14ac:dyDescent="0.25">
      <c r="A93" s="227"/>
      <c r="B93" s="984"/>
      <c r="C93" s="184"/>
      <c r="D93" s="184"/>
      <c r="E93" s="184"/>
      <c r="F93" s="184"/>
      <c r="G93" s="67">
        <f t="shared" si="0"/>
        <v>0</v>
      </c>
      <c r="H93" s="227"/>
      <c r="I93" s="227"/>
      <c r="J93" s="227"/>
      <c r="K93" s="227"/>
      <c r="L93" s="53"/>
    </row>
    <row r="94" spans="1:12" x14ac:dyDescent="0.25">
      <c r="A94" s="227"/>
      <c r="B94" s="984"/>
      <c r="C94" s="184"/>
      <c r="D94" s="184"/>
      <c r="E94" s="184"/>
      <c r="F94" s="184"/>
      <c r="G94" s="67">
        <f t="shared" si="0"/>
        <v>0</v>
      </c>
      <c r="H94" s="227"/>
      <c r="I94" s="227"/>
      <c r="J94" s="227"/>
      <c r="K94" s="227"/>
      <c r="L94" s="53"/>
    </row>
    <row r="95" spans="1:12" x14ac:dyDescent="0.25">
      <c r="A95" s="227"/>
      <c r="B95" s="984"/>
      <c r="C95" s="184"/>
      <c r="D95" s="184"/>
      <c r="E95" s="184"/>
      <c r="F95" s="184"/>
      <c r="G95" s="67">
        <f t="shared" si="0"/>
        <v>0</v>
      </c>
      <c r="H95" s="227"/>
      <c r="I95" s="227"/>
      <c r="J95" s="227"/>
      <c r="K95" s="227"/>
      <c r="L95" s="53"/>
    </row>
    <row r="96" spans="1:12" x14ac:dyDescent="0.25">
      <c r="A96" s="227"/>
      <c r="B96" s="984"/>
      <c r="C96" s="184"/>
      <c r="D96" s="184"/>
      <c r="E96" s="184"/>
      <c r="F96" s="184"/>
      <c r="G96" s="67">
        <f t="shared" si="0"/>
        <v>0</v>
      </c>
      <c r="H96" s="227"/>
      <c r="I96" s="227"/>
      <c r="J96" s="227"/>
      <c r="K96" s="227"/>
      <c r="L96" s="53"/>
    </row>
    <row r="97" spans="1:12" x14ac:dyDescent="0.25">
      <c r="A97" s="227"/>
      <c r="B97" s="984"/>
      <c r="C97" s="184"/>
      <c r="D97" s="184"/>
      <c r="E97" s="184"/>
      <c r="F97" s="184"/>
      <c r="G97" s="67">
        <f t="shared" si="0"/>
        <v>0</v>
      </c>
      <c r="H97" s="227"/>
      <c r="I97" s="227"/>
      <c r="J97" s="227"/>
      <c r="K97" s="227"/>
      <c r="L97" s="53"/>
    </row>
    <row r="98" spans="1:12" x14ac:dyDescent="0.25">
      <c r="A98" s="227"/>
      <c r="B98" s="984"/>
      <c r="C98" s="184"/>
      <c r="D98" s="184"/>
      <c r="E98" s="184"/>
      <c r="F98" s="184"/>
      <c r="G98" s="67">
        <f t="shared" si="0"/>
        <v>0</v>
      </c>
      <c r="H98" s="227"/>
      <c r="I98" s="227"/>
      <c r="J98" s="227"/>
      <c r="K98" s="227"/>
      <c r="L98" s="53"/>
    </row>
    <row r="99" spans="1:12" x14ac:dyDescent="0.25">
      <c r="A99" s="227"/>
      <c r="B99" s="984"/>
      <c r="C99" s="184"/>
      <c r="D99" s="184"/>
      <c r="E99" s="184"/>
      <c r="F99" s="184"/>
      <c r="G99" s="67">
        <f t="shared" si="0"/>
        <v>0</v>
      </c>
      <c r="H99" s="227"/>
      <c r="I99" s="227"/>
      <c r="J99" s="227"/>
      <c r="K99" s="227"/>
      <c r="L99" s="53"/>
    </row>
    <row r="100" spans="1:12" x14ac:dyDescent="0.25">
      <c r="A100" s="227"/>
      <c r="B100" s="227"/>
      <c r="C100" s="227"/>
      <c r="D100" s="227"/>
      <c r="E100" s="227"/>
      <c r="F100" s="227"/>
      <c r="G100" s="227"/>
      <c r="H100" s="227"/>
      <c r="I100" s="227"/>
      <c r="J100" s="227"/>
      <c r="K100" s="227"/>
      <c r="L100" s="53"/>
    </row>
    <row r="101" spans="1:12" ht="18.75" customHeight="1" x14ac:dyDescent="0.25">
      <c r="A101" s="227"/>
      <c r="B101" s="1494" t="s">
        <v>532</v>
      </c>
      <c r="C101" s="1494"/>
      <c r="D101" s="235" t="str">
        <f>IFERROR(SUM(G85:G99)/D82,"")</f>
        <v/>
      </c>
      <c r="E101" s="227"/>
      <c r="F101" s="227"/>
      <c r="G101" s="227"/>
      <c r="H101" s="227"/>
      <c r="I101" s="227"/>
      <c r="J101" s="227"/>
      <c r="K101" s="227"/>
    </row>
    <row r="102" spans="1:12" ht="19.5" customHeight="1" x14ac:dyDescent="0.25">
      <c r="A102" s="227"/>
      <c r="B102" s="227"/>
      <c r="C102" s="227"/>
      <c r="D102" s="227"/>
      <c r="E102" s="227"/>
      <c r="F102" s="227"/>
      <c r="G102" s="227"/>
      <c r="H102" s="227"/>
      <c r="I102" s="227"/>
      <c r="J102" s="227"/>
      <c r="K102" s="227"/>
    </row>
    <row r="103" spans="1:12" ht="16.5" customHeight="1" x14ac:dyDescent="0.25">
      <c r="A103" s="1410" t="s">
        <v>200</v>
      </c>
      <c r="B103" s="1410"/>
      <c r="C103" s="1410"/>
      <c r="D103" s="227"/>
      <c r="E103" s="227"/>
      <c r="F103" s="227"/>
      <c r="G103" s="227"/>
      <c r="H103" s="227"/>
      <c r="I103" s="227"/>
      <c r="J103" s="227"/>
      <c r="K103" s="227"/>
    </row>
    <row r="104" spans="1:12" ht="16.5" customHeight="1" x14ac:dyDescent="0.25">
      <c r="A104" s="227"/>
      <c r="B104" s="227"/>
      <c r="C104" s="227"/>
      <c r="D104" s="227"/>
      <c r="E104" s="227"/>
      <c r="F104" s="227"/>
      <c r="G104" s="227"/>
      <c r="H104" s="227"/>
      <c r="I104" s="227"/>
      <c r="J104" s="227"/>
      <c r="K104" s="227"/>
    </row>
    <row r="105" spans="1:12" ht="18" customHeight="1" x14ac:dyDescent="0.25">
      <c r="A105" s="214"/>
      <c r="B105" s="1446" t="s">
        <v>2103</v>
      </c>
      <c r="C105" s="1447"/>
      <c r="D105" s="1447"/>
      <c r="E105" s="1447"/>
      <c r="F105" s="1447"/>
      <c r="G105" s="1045" t="s">
        <v>2101</v>
      </c>
      <c r="H105" s="1443" t="s">
        <v>2102</v>
      </c>
      <c r="I105" s="1444"/>
      <c r="J105" s="227"/>
      <c r="K105" s="227"/>
    </row>
    <row r="106" spans="1:12" ht="21" customHeight="1" x14ac:dyDescent="0.25">
      <c r="A106" s="214"/>
      <c r="B106" s="1436" t="s">
        <v>1244</v>
      </c>
      <c r="C106" s="1437"/>
      <c r="D106" s="1437"/>
      <c r="E106" s="1437"/>
      <c r="F106" s="1438"/>
      <c r="G106" s="633" t="s">
        <v>129</v>
      </c>
      <c r="H106" s="1441"/>
      <c r="I106" s="1442"/>
      <c r="J106" s="227"/>
      <c r="K106" s="227"/>
    </row>
    <row r="107" spans="1:12" ht="21" customHeight="1" x14ac:dyDescent="0.25">
      <c r="A107" s="214"/>
      <c r="B107" s="1436" t="s">
        <v>1245</v>
      </c>
      <c r="C107" s="1437"/>
      <c r="D107" s="1437"/>
      <c r="E107" s="1437"/>
      <c r="F107" s="1438"/>
      <c r="G107" s="633" t="s">
        <v>129</v>
      </c>
      <c r="H107" s="1441"/>
      <c r="I107" s="1442"/>
      <c r="J107" s="227"/>
      <c r="K107" s="227"/>
    </row>
    <row r="108" spans="1:12" ht="18" customHeight="1" x14ac:dyDescent="0.25">
      <c r="A108" s="227"/>
      <c r="B108" s="227"/>
      <c r="C108" s="227"/>
      <c r="D108" s="227"/>
      <c r="E108" s="227"/>
      <c r="F108" s="227"/>
      <c r="G108" s="227"/>
      <c r="H108" s="227"/>
      <c r="I108" s="227"/>
      <c r="J108" s="227"/>
      <c r="K108" s="227"/>
    </row>
    <row r="109" spans="1:12" ht="16.5" customHeight="1" x14ac:dyDescent="0.25">
      <c r="A109" s="1410" t="s">
        <v>25</v>
      </c>
      <c r="B109" s="1410"/>
      <c r="C109" s="1410"/>
      <c r="D109" s="227"/>
      <c r="E109" s="227"/>
      <c r="F109" s="227"/>
      <c r="G109" s="227"/>
      <c r="H109" s="227"/>
      <c r="I109" s="227"/>
      <c r="J109" s="227"/>
      <c r="K109" s="227"/>
    </row>
    <row r="110" spans="1:12" ht="17.25" customHeight="1" x14ac:dyDescent="0.25">
      <c r="A110" s="227"/>
      <c r="B110" s="227"/>
      <c r="C110" s="227"/>
      <c r="D110" s="227"/>
      <c r="E110" s="227"/>
      <c r="F110" s="227"/>
      <c r="G110" s="227"/>
      <c r="H110" s="227"/>
      <c r="I110" s="227"/>
      <c r="J110" s="227"/>
      <c r="K110" s="227"/>
    </row>
    <row r="111" spans="1:12" ht="18" customHeight="1" x14ac:dyDescent="0.25">
      <c r="A111" s="227"/>
      <c r="B111" s="232" t="s">
        <v>56</v>
      </c>
      <c r="C111" s="12" t="str">
        <f>IF(D11="Performance Path",IF(D101=0,0,IF(D101&lt;=6,3,IF(D101&lt;=7,2,IF(D101&lt;=8,1,0)))),"")</f>
        <v/>
      </c>
      <c r="D111" s="227"/>
      <c r="E111" s="227"/>
      <c r="F111" s="227"/>
      <c r="G111" s="227"/>
      <c r="H111" s="227"/>
      <c r="I111" s="227"/>
      <c r="J111" s="227"/>
      <c r="K111" s="227"/>
    </row>
    <row r="112" spans="1:12" ht="18" customHeight="1" x14ac:dyDescent="0.25">
      <c r="A112" s="227"/>
      <c r="B112" s="232" t="s">
        <v>521</v>
      </c>
      <c r="C112" s="12" t="str">
        <f>IF(D11="Performance Path",IF(AND(G106="Submitted",G107="Submitted",C111&gt;0),"Yes","No"),"")</f>
        <v/>
      </c>
      <c r="D112" s="227"/>
      <c r="E112" s="227"/>
      <c r="F112" s="227"/>
      <c r="G112" s="227"/>
      <c r="H112" s="227"/>
      <c r="I112" s="227"/>
      <c r="J112" s="227"/>
      <c r="K112" s="227"/>
    </row>
    <row r="113" spans="1:11" ht="18.75" customHeight="1" x14ac:dyDescent="0.25">
      <c r="A113" s="227"/>
      <c r="B113" s="227"/>
      <c r="C113" s="227"/>
      <c r="D113" s="227"/>
      <c r="E113" s="227"/>
      <c r="F113" s="227"/>
      <c r="G113" s="227"/>
      <c r="H113" s="227"/>
      <c r="I113" s="227"/>
      <c r="J113" s="227"/>
      <c r="K113" s="227"/>
    </row>
    <row r="114" spans="1:11" hidden="1" x14ac:dyDescent="0.25"/>
    <row r="115" spans="1:11" hidden="1" x14ac:dyDescent="0.25"/>
    <row r="116" spans="1:11" hidden="1" x14ac:dyDescent="0.25"/>
    <row r="117" spans="1:11" hidden="1" x14ac:dyDescent="0.25"/>
    <row r="118" spans="1:11" hidden="1" x14ac:dyDescent="0.25"/>
    <row r="119" spans="1:11" hidden="1" x14ac:dyDescent="0.25"/>
    <row r="120" spans="1:11" hidden="1" x14ac:dyDescent="0.25"/>
    <row r="121" spans="1:11" hidden="1" x14ac:dyDescent="0.25"/>
    <row r="122" spans="1:11" hidden="1" x14ac:dyDescent="0.25"/>
    <row r="123" spans="1:11" hidden="1" x14ac:dyDescent="0.25"/>
    <row r="124" spans="1:11" hidden="1" x14ac:dyDescent="0.25"/>
    <row r="125" spans="1:11" hidden="1" x14ac:dyDescent="0.25"/>
    <row r="126" spans="1:11" hidden="1" x14ac:dyDescent="0.25"/>
    <row r="127" spans="1:11" hidden="1" x14ac:dyDescent="0.25"/>
    <row r="128" spans="1:11" hidden="1" x14ac:dyDescent="0.25"/>
    <row r="129" hidden="1" x14ac:dyDescent="0.25"/>
  </sheetData>
  <sheetProtection algorithmName="SHA-512" hashValue="smZHQc29RM6XuNkVXKLtX63kvJNs6PW/5RRqbPtvyjVDQDvNVrZ72jWbdBOgimxo6btTb3bZAtUasiRKLXSyHw==" saltValue="R4rrnS9k00rCNfL0WiZgBA==" spinCount="100000" sheet="1" objects="1" scenarios="1"/>
  <mergeCells count="34">
    <mergeCell ref="B105:F105"/>
    <mergeCell ref="H105:I105"/>
    <mergeCell ref="H106:I106"/>
    <mergeCell ref="H107:I107"/>
    <mergeCell ref="H58:I58"/>
    <mergeCell ref="H59:I59"/>
    <mergeCell ref="A5:K7"/>
    <mergeCell ref="A24:C24"/>
    <mergeCell ref="A31:C31"/>
    <mergeCell ref="A55:C55"/>
    <mergeCell ref="B13:E13"/>
    <mergeCell ref="B14:E14"/>
    <mergeCell ref="B53:C53"/>
    <mergeCell ref="B57:F57"/>
    <mergeCell ref="A9:K9"/>
    <mergeCell ref="A22:K22"/>
    <mergeCell ref="A66:K66"/>
    <mergeCell ref="H57:I57"/>
    <mergeCell ref="G2:H4"/>
    <mergeCell ref="A109:C109"/>
    <mergeCell ref="B28:I29"/>
    <mergeCell ref="B16:E16"/>
    <mergeCell ref="B17:E17"/>
    <mergeCell ref="B58:F58"/>
    <mergeCell ref="B82:C82"/>
    <mergeCell ref="B101:C101"/>
    <mergeCell ref="B59:F59"/>
    <mergeCell ref="B106:F106"/>
    <mergeCell ref="B107:F107"/>
    <mergeCell ref="A61:C61"/>
    <mergeCell ref="A78:C78"/>
    <mergeCell ref="A103:C103"/>
    <mergeCell ref="A68:C68"/>
    <mergeCell ref="B11:C11"/>
  </mergeCells>
  <dataValidations disablePrompts="1" count="6">
    <dataValidation type="list" allowBlank="1" showInputMessage="1" showErrorMessage="1" sqref="D11">
      <formula1>"Select,Prescriptive Path, Performance Path"</formula1>
    </dataValidation>
    <dataValidation allowBlank="1" showInputMessage="1" showErrorMessage="1" prompt="Complete if any._x000a_Additional Power can be for ballasts, control devices, current regulators..." sqref="F84:F99"/>
    <dataValidation type="list" allowBlank="1" showInputMessage="1" showErrorMessage="1" sqref="G58:G59 G106:G107">
      <formula1>"Select,Submitted,Not submitted"</formula1>
    </dataValidation>
    <dataValidation allowBlank="1" showInputMessage="1" showErrorMessage="1" prompt="Individal power (W) of the lighting fixture" sqref="E84:E99 E36:E50"/>
    <dataValidation allowBlank="1" showInputMessage="1" showErrorMessage="1" prompt="Enter the type of the installed lighting fixture, it can be LED, T5 fluorescent, CFL, etc." sqref="C84:C99 C36:C50"/>
    <dataValidation allowBlank="1" showInputMessage="1" showErrorMessage="1" prompt="Enter the name of the light fixture." sqref="B36:B50 B85:B99"/>
  </dataValidations>
  <hyperlinks>
    <hyperlink ref="J3" location="'E-6 Energy Efficient Appliances'!E3" tooltip="E-6" display="E-6"/>
    <hyperlink ref="J2" location="'E-5 Water heating'!D3" tooltip="E-5" display="E-5"/>
    <hyperlink ref="I2" location="'E-1 Passive Design'!B3" tooltip="E-1" display="E-1"/>
    <hyperlink ref="I3" location="'E-2 Building Envelope'!B3" tooltip="E-2" display="E-2"/>
    <hyperlink ref="I4" location="'E-3 Home cooling'!B3" tooltip="E-3" display="E-3"/>
    <hyperlink ref="K3" location="'Energy BPC'!B3" tooltip="BPC" display="BPC"/>
    <hyperlink ref="J4" location="'E-7 Energy Monitor'!D3" tooltip="E-7" display="E-7"/>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58B527"/>
  </sheetPr>
  <dimension ref="A1:P122"/>
  <sheetViews>
    <sheetView showGridLines="0" showRowColHeaders="0" zoomScaleNormal="100" workbookViewId="0">
      <pane ySplit="8" topLeftCell="A9" activePane="bottomLeft" state="frozen"/>
      <selection activeCell="E9" sqref="E9:F9"/>
      <selection pane="bottomLeft" activeCell="J4" sqref="J4"/>
    </sheetView>
  </sheetViews>
  <sheetFormatPr defaultColWidth="0" defaultRowHeight="15" zeroHeight="1" x14ac:dyDescent="0.25"/>
  <cols>
    <col min="1" max="1" width="3.7109375" style="42" customWidth="1"/>
    <col min="2" max="2" width="20.7109375" style="42" customWidth="1"/>
    <col min="3" max="3" width="22.42578125" style="42" customWidth="1"/>
    <col min="4" max="4" width="20.7109375" style="42" customWidth="1"/>
    <col min="5" max="5" width="21.5703125" style="42" customWidth="1"/>
    <col min="6" max="6" width="20.7109375" style="42" customWidth="1"/>
    <col min="7" max="7" width="17.5703125" style="42" customWidth="1"/>
    <col min="8" max="8" width="22" style="42" customWidth="1"/>
    <col min="9" max="11" width="8.7109375" style="42" customWidth="1"/>
    <col min="12" max="12" width="9.140625" style="42" hidden="1" customWidth="1"/>
    <col min="13" max="13" width="35.28515625" style="42" hidden="1" customWidth="1"/>
    <col min="14" max="16384" width="9.140625" style="42" hidden="1"/>
  </cols>
  <sheetData>
    <row r="1" spans="1:13" ht="25.5" customHeight="1" x14ac:dyDescent="0.25">
      <c r="A1" s="1413" t="s">
        <v>1958</v>
      </c>
      <c r="B1" s="1413"/>
      <c r="C1" s="1413"/>
      <c r="D1" s="1413"/>
      <c r="E1" s="1413"/>
      <c r="F1" s="1413"/>
      <c r="G1" s="1413"/>
      <c r="H1" s="1413"/>
      <c r="I1" s="1413"/>
      <c r="J1" s="1413"/>
      <c r="K1" s="1413"/>
    </row>
    <row r="2" spans="1:13" ht="15" customHeight="1" x14ac:dyDescent="0.25">
      <c r="A2" s="54"/>
      <c r="B2" s="54"/>
      <c r="C2" s="54"/>
      <c r="D2" s="54"/>
      <c r="E2" s="54"/>
      <c r="F2" s="53"/>
      <c r="G2" s="53"/>
      <c r="H2" s="1426" t="s">
        <v>537</v>
      </c>
      <c r="I2" s="239" t="s">
        <v>62</v>
      </c>
      <c r="J2" s="239" t="s">
        <v>73</v>
      </c>
      <c r="K2" s="239"/>
    </row>
    <row r="3" spans="1:13" ht="15" customHeight="1" x14ac:dyDescent="0.25">
      <c r="A3" s="54"/>
      <c r="B3" s="54"/>
      <c r="C3" s="54"/>
      <c r="D3" s="54"/>
      <c r="E3" s="54"/>
      <c r="F3" s="53"/>
      <c r="G3" s="53"/>
      <c r="H3" s="1426"/>
      <c r="I3" s="239" t="s">
        <v>66</v>
      </c>
      <c r="J3" s="239" t="s">
        <v>81</v>
      </c>
      <c r="K3" s="239" t="s">
        <v>79</v>
      </c>
    </row>
    <row r="4" spans="1:13" ht="15" customHeight="1" x14ac:dyDescent="0.25">
      <c r="A4" s="54"/>
      <c r="B4" s="54"/>
      <c r="C4" s="54"/>
      <c r="D4" s="54"/>
      <c r="E4" s="54"/>
      <c r="F4" s="53"/>
      <c r="G4" s="53"/>
      <c r="H4" s="1427"/>
      <c r="I4" s="239" t="s">
        <v>70</v>
      </c>
      <c r="J4" s="239" t="s">
        <v>102</v>
      </c>
      <c r="K4" s="240"/>
    </row>
    <row r="5" spans="1:13" ht="21" customHeight="1" x14ac:dyDescent="0.25">
      <c r="A5" s="1417" t="s">
        <v>2181</v>
      </c>
      <c r="B5" s="1418"/>
      <c r="C5" s="1418"/>
      <c r="D5" s="1418"/>
      <c r="E5" s="1418"/>
      <c r="F5" s="1418"/>
      <c r="G5" s="1418"/>
      <c r="H5" s="1418"/>
      <c r="I5" s="1418"/>
      <c r="J5" s="1418"/>
      <c r="K5" s="1418"/>
      <c r="M5" s="194"/>
    </row>
    <row r="6" spans="1:13" ht="21" customHeight="1" x14ac:dyDescent="0.25">
      <c r="A6" s="1420"/>
      <c r="B6" s="1421"/>
      <c r="C6" s="1421"/>
      <c r="D6" s="1421"/>
      <c r="E6" s="1421"/>
      <c r="F6" s="1421"/>
      <c r="G6" s="1421"/>
      <c r="H6" s="1421"/>
      <c r="I6" s="1421"/>
      <c r="J6" s="1421"/>
      <c r="K6" s="1421"/>
      <c r="M6" s="196"/>
    </row>
    <row r="7" spans="1:13" ht="21" customHeight="1" x14ac:dyDescent="0.25">
      <c r="A7" s="1423"/>
      <c r="B7" s="1424"/>
      <c r="C7" s="1424"/>
      <c r="D7" s="1424"/>
      <c r="E7" s="1424"/>
      <c r="F7" s="1424"/>
      <c r="G7" s="1424"/>
      <c r="H7" s="1424"/>
      <c r="I7" s="1424"/>
      <c r="J7" s="1424"/>
      <c r="K7" s="1424"/>
      <c r="M7" s="198"/>
    </row>
    <row r="8" spans="1:13" ht="10.5" customHeight="1" x14ac:dyDescent="0.25">
      <c r="A8" s="53"/>
      <c r="B8" s="54"/>
      <c r="C8" s="54"/>
      <c r="D8" s="54"/>
      <c r="E8" s="54"/>
      <c r="F8" s="53"/>
      <c r="G8" s="53"/>
      <c r="H8" s="53"/>
      <c r="I8" s="53"/>
      <c r="J8" s="53"/>
      <c r="K8" s="53"/>
      <c r="M8" s="53"/>
    </row>
    <row r="9" spans="1:13" ht="18" customHeight="1" x14ac:dyDescent="0.25">
      <c r="A9" s="1432" t="s">
        <v>191</v>
      </c>
      <c r="B9" s="1432"/>
      <c r="C9" s="1432"/>
      <c r="D9" s="1432"/>
      <c r="E9" s="1432"/>
      <c r="F9" s="1432"/>
      <c r="G9" s="1432"/>
      <c r="H9" s="1432"/>
      <c r="I9" s="1432"/>
      <c r="J9" s="1432"/>
      <c r="K9" s="1432"/>
    </row>
    <row r="10" spans="1:13" x14ac:dyDescent="0.25">
      <c r="A10" s="53"/>
      <c r="B10" s="54"/>
      <c r="C10" s="54"/>
      <c r="D10" s="54"/>
      <c r="E10" s="54"/>
      <c r="F10" s="53"/>
      <c r="G10" s="53"/>
      <c r="H10" s="53"/>
      <c r="I10" s="53"/>
      <c r="J10" s="53"/>
      <c r="K10" s="53"/>
    </row>
    <row r="11" spans="1:13" ht="16.5" customHeight="1" x14ac:dyDescent="0.25">
      <c r="A11" s="53"/>
      <c r="B11" s="1477" t="s">
        <v>258</v>
      </c>
      <c r="C11" s="1478"/>
      <c r="D11" s="1631" t="s">
        <v>129</v>
      </c>
      <c r="E11" s="1631"/>
      <c r="F11" s="53"/>
      <c r="G11" s="53"/>
      <c r="H11" s="53"/>
      <c r="I11" s="53"/>
      <c r="J11" s="53"/>
      <c r="K11" s="53"/>
    </row>
    <row r="12" spans="1:13" x14ac:dyDescent="0.25">
      <c r="A12" s="53"/>
      <c r="B12" s="54"/>
      <c r="C12" s="54"/>
      <c r="D12" s="54"/>
      <c r="E12" s="54"/>
      <c r="F12" s="53"/>
      <c r="G12" s="53"/>
      <c r="H12" s="53"/>
      <c r="I12" s="53"/>
      <c r="J12" s="53"/>
      <c r="K12" s="53"/>
    </row>
    <row r="13" spans="1:13" ht="19.5" customHeight="1" x14ac:dyDescent="0.25">
      <c r="A13" s="53"/>
      <c r="B13" s="1428" t="s">
        <v>192</v>
      </c>
      <c r="C13" s="1429"/>
      <c r="D13" s="1429"/>
      <c r="E13" s="1429"/>
      <c r="F13" s="485" t="s">
        <v>157</v>
      </c>
      <c r="G13" s="485" t="s">
        <v>56</v>
      </c>
      <c r="H13" s="98" t="s">
        <v>521</v>
      </c>
      <c r="I13" s="53"/>
      <c r="J13" s="53"/>
      <c r="K13" s="53"/>
    </row>
    <row r="14" spans="1:13" ht="28.5" customHeight="1" x14ac:dyDescent="0.25">
      <c r="A14" s="53"/>
      <c r="B14" s="1633" t="s">
        <v>1946</v>
      </c>
      <c r="C14" s="1634"/>
      <c r="D14" s="1634"/>
      <c r="E14" s="1635"/>
      <c r="F14" s="59">
        <v>2</v>
      </c>
      <c r="G14" s="59" t="str">
        <f>C38</f>
        <v/>
      </c>
      <c r="H14" s="59" t="str">
        <f>C39</f>
        <v/>
      </c>
      <c r="I14" s="53"/>
      <c r="J14" s="53"/>
      <c r="K14" s="53"/>
    </row>
    <row r="15" spans="1:13" ht="28.5" customHeight="1" x14ac:dyDescent="0.25">
      <c r="A15" s="53"/>
      <c r="B15" s="1633" t="s">
        <v>1947</v>
      </c>
      <c r="C15" s="1634" t="s">
        <v>101</v>
      </c>
      <c r="D15" s="1634" t="s">
        <v>101</v>
      </c>
      <c r="E15" s="1635" t="s">
        <v>101</v>
      </c>
      <c r="F15" s="59">
        <v>2</v>
      </c>
      <c r="G15" s="59" t="str">
        <f>C72</f>
        <v/>
      </c>
      <c r="H15" s="59" t="str">
        <f>C73</f>
        <v/>
      </c>
      <c r="I15" s="53"/>
      <c r="J15" s="53"/>
      <c r="K15" s="53"/>
    </row>
    <row r="16" spans="1:13" ht="16.5" customHeight="1" x14ac:dyDescent="0.25">
      <c r="A16" s="54"/>
      <c r="B16" s="54"/>
      <c r="C16" s="54"/>
      <c r="D16" s="54"/>
      <c r="E16" s="54"/>
      <c r="F16" s="53"/>
      <c r="G16" s="53"/>
      <c r="H16" s="53"/>
      <c r="I16" s="53"/>
      <c r="J16" s="53"/>
      <c r="K16" s="53"/>
    </row>
    <row r="17" spans="1:13" ht="18" customHeight="1" x14ac:dyDescent="0.25">
      <c r="A17" s="1432" t="s">
        <v>395</v>
      </c>
      <c r="B17" s="1432"/>
      <c r="C17" s="1432"/>
      <c r="D17" s="1432"/>
      <c r="E17" s="1432"/>
      <c r="F17" s="1432"/>
      <c r="G17" s="1432"/>
      <c r="H17" s="1432"/>
      <c r="I17" s="1432"/>
      <c r="J17" s="1432"/>
      <c r="K17" s="1432"/>
    </row>
    <row r="18" spans="1:13" ht="15" customHeight="1" x14ac:dyDescent="0.25">
      <c r="A18" s="224"/>
      <c r="B18" s="224"/>
      <c r="C18" s="224"/>
      <c r="D18" s="224"/>
      <c r="E18" s="224"/>
      <c r="F18" s="224"/>
      <c r="G18" s="224"/>
      <c r="H18" s="224"/>
      <c r="I18" s="224"/>
      <c r="J18" s="224"/>
      <c r="K18" s="224"/>
      <c r="M18" s="87"/>
    </row>
    <row r="19" spans="1:13" ht="16.5" customHeight="1" x14ac:dyDescent="0.25">
      <c r="A19" s="1410" t="s">
        <v>265</v>
      </c>
      <c r="B19" s="1410"/>
      <c r="C19" s="1410"/>
      <c r="D19" s="224"/>
      <c r="E19" s="224"/>
      <c r="F19" s="224"/>
      <c r="G19" s="224"/>
      <c r="H19" s="224"/>
      <c r="I19" s="224"/>
      <c r="J19" s="224"/>
      <c r="K19" s="224"/>
      <c r="M19" s="87"/>
    </row>
    <row r="20" spans="1:13" ht="15" customHeight="1" x14ac:dyDescent="0.25">
      <c r="A20" s="224"/>
      <c r="B20" s="224"/>
      <c r="C20" s="224"/>
      <c r="D20" s="224"/>
      <c r="E20" s="224"/>
      <c r="F20" s="224"/>
      <c r="G20" s="224"/>
      <c r="H20" s="224"/>
      <c r="I20" s="224"/>
      <c r="J20" s="224"/>
      <c r="K20" s="224"/>
      <c r="M20" s="87"/>
    </row>
    <row r="21" spans="1:13" ht="15" customHeight="1" x14ac:dyDescent="0.25">
      <c r="A21" s="224"/>
      <c r="B21" s="690" t="s">
        <v>1850</v>
      </c>
      <c r="C21" s="224"/>
      <c r="D21" s="224"/>
      <c r="E21" s="224"/>
      <c r="F21" s="224"/>
      <c r="G21" s="224"/>
      <c r="H21" s="224"/>
      <c r="I21" s="224"/>
      <c r="J21" s="224"/>
      <c r="K21" s="224"/>
      <c r="M21" s="87"/>
    </row>
    <row r="22" spans="1:13" ht="15" customHeight="1" x14ac:dyDescent="0.25">
      <c r="A22" s="224"/>
      <c r="B22" s="224"/>
      <c r="C22" s="224"/>
      <c r="D22" s="224"/>
      <c r="E22" s="224"/>
      <c r="F22" s="224"/>
      <c r="G22" s="224"/>
      <c r="H22" s="224"/>
      <c r="I22" s="224"/>
      <c r="J22" s="224"/>
      <c r="K22" s="224"/>
      <c r="M22" s="87"/>
    </row>
    <row r="23" spans="1:13" ht="6.75" customHeight="1" x14ac:dyDescent="0.25">
      <c r="A23" s="224"/>
      <c r="B23" s="224"/>
      <c r="C23" s="224"/>
      <c r="D23" s="224"/>
      <c r="E23" s="224"/>
      <c r="F23" s="224"/>
      <c r="G23" s="224"/>
      <c r="H23" s="224"/>
      <c r="I23" s="224"/>
      <c r="J23" s="224"/>
      <c r="K23" s="224"/>
    </row>
    <row r="24" spans="1:13" ht="15" customHeight="1" x14ac:dyDescent="0.25">
      <c r="A24" s="224"/>
      <c r="B24" s="646" t="s">
        <v>1294</v>
      </c>
      <c r="C24" s="224"/>
      <c r="D24" s="224"/>
      <c r="E24" s="224"/>
      <c r="F24" s="224"/>
      <c r="G24" s="224"/>
      <c r="H24" s="224"/>
      <c r="I24" s="224"/>
      <c r="J24" s="224"/>
      <c r="K24" s="224"/>
    </row>
    <row r="25" spans="1:13" ht="9.75" customHeight="1" x14ac:dyDescent="0.25">
      <c r="A25" s="224"/>
      <c r="B25" s="646"/>
      <c r="C25" s="224"/>
      <c r="D25" s="224"/>
      <c r="E25" s="224"/>
      <c r="F25" s="224"/>
      <c r="G25" s="224"/>
      <c r="H25" s="224"/>
      <c r="I25" s="224"/>
      <c r="J25" s="224"/>
      <c r="K25" s="224"/>
    </row>
    <row r="26" spans="1:13" ht="18" customHeight="1" x14ac:dyDescent="0.25">
      <c r="A26" s="224"/>
      <c r="B26" s="1632" t="s">
        <v>1848</v>
      </c>
      <c r="C26" s="1632"/>
      <c r="D26" s="1632"/>
      <c r="E26" s="1632"/>
      <c r="F26" s="952" t="s">
        <v>129</v>
      </c>
      <c r="G26" s="226"/>
      <c r="H26" s="224"/>
      <c r="I26" s="224"/>
      <c r="J26" s="224"/>
      <c r="K26" s="224"/>
      <c r="M26" s="42" t="b">
        <v>0</v>
      </c>
    </row>
    <row r="27" spans="1:13" ht="18" customHeight="1" x14ac:dyDescent="0.25">
      <c r="A27" s="224"/>
      <c r="B27" s="1632" t="s">
        <v>1851</v>
      </c>
      <c r="C27" s="1632"/>
      <c r="D27" s="1632"/>
      <c r="E27" s="1632"/>
      <c r="F27" s="968"/>
      <c r="G27" s="224"/>
      <c r="H27" s="224"/>
      <c r="I27" s="224"/>
      <c r="J27" s="224"/>
      <c r="K27" s="224"/>
    </row>
    <row r="28" spans="1:13" ht="18" customHeight="1" x14ac:dyDescent="0.25">
      <c r="A28" s="224"/>
      <c r="B28" s="224"/>
      <c r="C28" s="224"/>
      <c r="D28" s="224"/>
      <c r="E28" s="224"/>
      <c r="F28" s="224"/>
      <c r="G28" s="224"/>
      <c r="H28" s="224"/>
      <c r="I28" s="224"/>
      <c r="J28" s="224"/>
      <c r="K28" s="224"/>
    </row>
    <row r="29" spans="1:13" ht="18" customHeight="1" x14ac:dyDescent="0.25">
      <c r="A29" s="224"/>
      <c r="B29" s="1494" t="s">
        <v>1847</v>
      </c>
      <c r="C29" s="1494"/>
      <c r="D29" s="218" t="str">
        <f>IF(AND(F27&lt;&gt;"",F26="Yes"),"Yes","No")</f>
        <v>No</v>
      </c>
      <c r="E29" s="224"/>
      <c r="F29" s="224"/>
      <c r="G29" s="224"/>
      <c r="H29" s="224"/>
      <c r="I29" s="224"/>
      <c r="J29" s="224"/>
      <c r="K29" s="224"/>
    </row>
    <row r="30" spans="1:13" ht="18" customHeight="1" x14ac:dyDescent="0.25">
      <c r="A30" s="224"/>
      <c r="B30" s="224"/>
      <c r="C30" s="224"/>
      <c r="D30" s="224"/>
      <c r="E30" s="224"/>
      <c r="F30" s="224"/>
      <c r="G30" s="224"/>
      <c r="H30" s="224"/>
      <c r="I30" s="224"/>
      <c r="J30" s="224"/>
      <c r="K30" s="224"/>
    </row>
    <row r="31" spans="1:13" ht="16.5" customHeight="1" x14ac:dyDescent="0.25">
      <c r="A31" s="1410" t="s">
        <v>200</v>
      </c>
      <c r="B31" s="1410"/>
      <c r="C31" s="1410"/>
      <c r="D31" s="213"/>
      <c r="E31" s="213"/>
      <c r="F31" s="213"/>
      <c r="G31" s="213"/>
      <c r="H31" s="213"/>
      <c r="I31" s="213"/>
      <c r="J31" s="213"/>
      <c r="K31" s="213"/>
    </row>
    <row r="32" spans="1:13" ht="12" customHeight="1" x14ac:dyDescent="0.25">
      <c r="A32" s="213"/>
      <c r="B32" s="224"/>
      <c r="C32" s="224"/>
      <c r="D32" s="224"/>
      <c r="E32" s="213"/>
      <c r="F32" s="213"/>
      <c r="G32" s="213"/>
      <c r="H32" s="213"/>
      <c r="I32" s="213"/>
      <c r="J32" s="213"/>
      <c r="K32" s="213"/>
    </row>
    <row r="33" spans="1:11" ht="18" customHeight="1" x14ac:dyDescent="0.25">
      <c r="A33" s="213"/>
      <c r="B33" s="1446" t="s">
        <v>2103</v>
      </c>
      <c r="C33" s="1447"/>
      <c r="D33" s="1447"/>
      <c r="E33" s="1447"/>
      <c r="F33" s="1447"/>
      <c r="G33" s="1045" t="s">
        <v>2101</v>
      </c>
      <c r="H33" s="1443" t="s">
        <v>2102</v>
      </c>
      <c r="I33" s="1444"/>
      <c r="J33" s="213"/>
      <c r="K33" s="213"/>
    </row>
    <row r="34" spans="1:11" ht="21" customHeight="1" x14ac:dyDescent="0.25">
      <c r="A34" s="213"/>
      <c r="B34" s="1436" t="s">
        <v>1891</v>
      </c>
      <c r="C34" s="1437"/>
      <c r="D34" s="1437"/>
      <c r="E34" s="1437"/>
      <c r="F34" s="1438"/>
      <c r="G34" s="633" t="s">
        <v>129</v>
      </c>
      <c r="H34" s="1441"/>
      <c r="I34" s="1442"/>
      <c r="J34" s="213"/>
      <c r="K34" s="213"/>
    </row>
    <row r="35" spans="1:11" ht="18" customHeight="1" x14ac:dyDescent="0.25">
      <c r="A35" s="213"/>
      <c r="B35" s="224"/>
      <c r="C35" s="224"/>
      <c r="D35" s="224"/>
      <c r="E35" s="213"/>
      <c r="F35" s="213"/>
      <c r="G35" s="213"/>
      <c r="H35" s="213"/>
      <c r="I35" s="213"/>
      <c r="J35" s="213"/>
      <c r="K35" s="213"/>
    </row>
    <row r="36" spans="1:11" ht="16.5" customHeight="1" x14ac:dyDescent="0.25">
      <c r="A36" s="1410" t="s">
        <v>25</v>
      </c>
      <c r="B36" s="1410"/>
      <c r="C36" s="1410"/>
      <c r="D36" s="224"/>
      <c r="E36" s="213"/>
      <c r="F36" s="213"/>
      <c r="G36" s="213"/>
      <c r="H36" s="213"/>
      <c r="I36" s="213"/>
      <c r="J36" s="213"/>
      <c r="K36" s="213"/>
    </row>
    <row r="37" spans="1:11" ht="15" customHeight="1" x14ac:dyDescent="0.25">
      <c r="A37" s="224"/>
      <c r="B37" s="224"/>
      <c r="C37" s="224"/>
      <c r="D37" s="224"/>
      <c r="E37" s="213"/>
      <c r="F37" s="213"/>
      <c r="G37" s="213"/>
      <c r="H37" s="213"/>
      <c r="I37" s="213"/>
      <c r="J37" s="213"/>
      <c r="K37" s="213"/>
    </row>
    <row r="38" spans="1:11" ht="18" customHeight="1" x14ac:dyDescent="0.25">
      <c r="A38" s="224"/>
      <c r="B38" s="192" t="s">
        <v>56</v>
      </c>
      <c r="C38" s="1190" t="str">
        <f>IF(D11="Option A: Solar water heating",IF(D29="Yes",2,0),"")</f>
        <v/>
      </c>
      <c r="D38" s="224"/>
      <c r="E38" s="213"/>
      <c r="F38" s="213"/>
      <c r="G38" s="213"/>
      <c r="H38" s="213"/>
      <c r="I38" s="213"/>
      <c r="J38" s="213"/>
      <c r="K38" s="213"/>
    </row>
    <row r="39" spans="1:11" ht="18" customHeight="1" x14ac:dyDescent="0.25">
      <c r="A39" s="224"/>
      <c r="B39" s="192" t="s">
        <v>521</v>
      </c>
      <c r="C39" s="1190" t="str">
        <f>IF(D11="Option A: Solar water heating",IF(AND(G34="Submitted",C38&gt;0),"Yes","No"),"")</f>
        <v/>
      </c>
      <c r="D39" s="224"/>
      <c r="E39" s="213"/>
      <c r="F39" s="213"/>
      <c r="G39" s="213"/>
      <c r="H39" s="213"/>
      <c r="I39" s="213"/>
      <c r="J39" s="213"/>
      <c r="K39" s="213"/>
    </row>
    <row r="40" spans="1:11" ht="18" customHeight="1" x14ac:dyDescent="0.25">
      <c r="A40" s="224"/>
      <c r="B40" s="224"/>
      <c r="C40" s="224"/>
      <c r="D40" s="224"/>
      <c r="E40" s="213"/>
      <c r="F40" s="213"/>
      <c r="G40" s="213"/>
      <c r="H40" s="213"/>
      <c r="I40" s="213"/>
      <c r="J40" s="213"/>
      <c r="K40" s="213"/>
    </row>
    <row r="41" spans="1:11" ht="18" customHeight="1" x14ac:dyDescent="0.25">
      <c r="A41" s="1432" t="s">
        <v>526</v>
      </c>
      <c r="B41" s="1432"/>
      <c r="C41" s="1432"/>
      <c r="D41" s="1432"/>
      <c r="E41" s="1432"/>
      <c r="F41" s="1432"/>
      <c r="G41" s="1432"/>
      <c r="H41" s="1432"/>
      <c r="I41" s="1432"/>
      <c r="J41" s="1432"/>
      <c r="K41" s="1432"/>
    </row>
    <row r="42" spans="1:11" ht="15" customHeight="1" x14ac:dyDescent="0.25">
      <c r="A42" s="227"/>
      <c r="B42" s="227"/>
      <c r="C42" s="227"/>
      <c r="D42" s="227"/>
      <c r="E42" s="227"/>
      <c r="F42" s="227"/>
      <c r="G42" s="227"/>
      <c r="H42" s="227"/>
      <c r="I42" s="227"/>
      <c r="J42" s="227"/>
      <c r="K42" s="227"/>
    </row>
    <row r="43" spans="1:11" ht="16.5" customHeight="1" x14ac:dyDescent="0.25">
      <c r="A43" s="1410" t="s">
        <v>265</v>
      </c>
      <c r="B43" s="1410"/>
      <c r="C43" s="1410"/>
      <c r="D43" s="227"/>
      <c r="E43" s="227"/>
      <c r="F43" s="227"/>
      <c r="G43" s="227"/>
      <c r="H43" s="227"/>
      <c r="I43" s="227"/>
      <c r="J43" s="227"/>
      <c r="K43" s="227"/>
    </row>
    <row r="44" spans="1:11" ht="15" customHeight="1" x14ac:dyDescent="0.25">
      <c r="A44" s="227"/>
      <c r="B44" s="227"/>
      <c r="C44" s="227"/>
      <c r="D44" s="227"/>
      <c r="E44" s="227"/>
      <c r="F44" s="227"/>
      <c r="G44" s="227"/>
      <c r="H44" s="227"/>
      <c r="I44" s="227"/>
      <c r="J44" s="227"/>
      <c r="K44" s="227"/>
    </row>
    <row r="45" spans="1:11" ht="15" customHeight="1" x14ac:dyDescent="0.25">
      <c r="A45" s="227"/>
      <c r="B45" s="693" t="s">
        <v>1500</v>
      </c>
      <c r="C45" s="227"/>
      <c r="D45" s="227"/>
      <c r="E45" s="227"/>
      <c r="F45" s="227"/>
      <c r="G45" s="227"/>
      <c r="H45" s="227"/>
      <c r="I45" s="227"/>
      <c r="J45" s="227"/>
      <c r="K45" s="227"/>
    </row>
    <row r="46" spans="1:11" ht="17.25" customHeight="1" x14ac:dyDescent="0.25">
      <c r="A46" s="227"/>
      <c r="B46" s="227"/>
      <c r="C46" s="227"/>
      <c r="D46" s="227"/>
      <c r="E46" s="227"/>
      <c r="F46" s="227"/>
      <c r="G46" s="227"/>
      <c r="H46" s="227"/>
      <c r="I46" s="227"/>
      <c r="J46" s="227"/>
      <c r="K46" s="227"/>
    </row>
    <row r="47" spans="1:11" ht="16.5" customHeight="1" x14ac:dyDescent="0.25">
      <c r="A47" s="1410" t="s">
        <v>26</v>
      </c>
      <c r="B47" s="1410"/>
      <c r="C47" s="1410"/>
      <c r="D47" s="227"/>
      <c r="E47" s="227"/>
      <c r="F47" s="227"/>
      <c r="G47" s="227"/>
      <c r="H47" s="227"/>
      <c r="I47" s="227"/>
      <c r="J47" s="227"/>
      <c r="K47" s="227"/>
    </row>
    <row r="48" spans="1:11" x14ac:dyDescent="0.25">
      <c r="A48" s="227"/>
      <c r="B48" s="227"/>
      <c r="C48" s="227"/>
      <c r="D48" s="227"/>
      <c r="E48" s="227"/>
      <c r="F48" s="227"/>
      <c r="G48" s="227"/>
      <c r="H48" s="227"/>
      <c r="I48" s="227"/>
      <c r="J48" s="227"/>
      <c r="K48" s="227"/>
    </row>
    <row r="49" spans="1:16" x14ac:dyDescent="0.25">
      <c r="A49" s="227"/>
      <c r="B49" s="659" t="s">
        <v>1365</v>
      </c>
      <c r="C49" s="227"/>
      <c r="D49" s="227"/>
      <c r="E49" s="227"/>
      <c r="F49" s="227"/>
      <c r="G49" s="227"/>
      <c r="H49" s="227"/>
      <c r="I49" s="227"/>
      <c r="J49" s="227"/>
      <c r="K49" s="227"/>
    </row>
    <row r="50" spans="1:16" ht="11.25" customHeight="1" x14ac:dyDescent="0.25">
      <c r="A50" s="227"/>
      <c r="B50" s="227"/>
      <c r="C50" s="227"/>
      <c r="D50" s="227"/>
      <c r="E50" s="227"/>
      <c r="F50" s="227"/>
      <c r="G50" s="227"/>
      <c r="H50" s="227"/>
      <c r="I50" s="227"/>
      <c r="J50" s="227"/>
      <c r="K50" s="227"/>
    </row>
    <row r="51" spans="1:16" ht="18" customHeight="1" x14ac:dyDescent="0.25">
      <c r="A51" s="227"/>
      <c r="B51" s="1632" t="s">
        <v>1849</v>
      </c>
      <c r="C51" s="1632"/>
      <c r="D51" s="1632"/>
      <c r="E51" s="1632"/>
      <c r="F51" s="985" t="s">
        <v>3</v>
      </c>
      <c r="G51" s="227"/>
      <c r="H51" s="227"/>
      <c r="I51" s="227"/>
      <c r="J51" s="227"/>
      <c r="K51" s="227"/>
      <c r="M51" s="87" t="b">
        <v>0</v>
      </c>
    </row>
    <row r="52" spans="1:16" ht="14.25" customHeight="1" x14ac:dyDescent="0.25">
      <c r="A52" s="227"/>
      <c r="B52" s="227"/>
      <c r="C52" s="227"/>
      <c r="D52" s="227"/>
      <c r="E52" s="227"/>
      <c r="F52" s="227"/>
      <c r="G52" s="227"/>
      <c r="H52" s="227"/>
      <c r="I52" s="227"/>
      <c r="J52" s="227"/>
      <c r="K52" s="227"/>
    </row>
    <row r="53" spans="1:16" x14ac:dyDescent="0.25">
      <c r="A53" s="227"/>
      <c r="B53" s="701" t="s">
        <v>528</v>
      </c>
      <c r="C53" s="227"/>
      <c r="D53" s="227"/>
      <c r="E53" s="227"/>
      <c r="F53" s="227"/>
      <c r="G53" s="227"/>
      <c r="H53" s="227"/>
      <c r="I53" s="227"/>
      <c r="J53" s="227"/>
      <c r="K53" s="227"/>
    </row>
    <row r="54" spans="1:16" ht="15" customHeight="1" x14ac:dyDescent="0.25">
      <c r="A54" s="227"/>
      <c r="B54" s="698" t="s">
        <v>527</v>
      </c>
      <c r="C54" s="227"/>
      <c r="D54" s="227"/>
      <c r="E54" s="227"/>
      <c r="F54" s="227"/>
      <c r="G54" s="227"/>
      <c r="H54" s="227"/>
      <c r="I54" s="227"/>
      <c r="J54" s="227"/>
      <c r="K54" s="227"/>
      <c r="N54" s="1636" t="s">
        <v>382</v>
      </c>
      <c r="O54" s="1636"/>
      <c r="P54" s="1627" t="s">
        <v>388</v>
      </c>
    </row>
    <row r="55" spans="1:16" ht="12" customHeight="1" x14ac:dyDescent="0.25">
      <c r="A55" s="227"/>
      <c r="B55" s="227"/>
      <c r="C55" s="227"/>
      <c r="D55" s="227"/>
      <c r="E55" s="227"/>
      <c r="F55" s="227"/>
      <c r="G55" s="227"/>
      <c r="H55" s="227"/>
      <c r="I55" s="227"/>
      <c r="J55" s="227"/>
      <c r="K55" s="227"/>
      <c r="N55" s="1636"/>
      <c r="O55" s="1636"/>
      <c r="P55" s="1628"/>
    </row>
    <row r="56" spans="1:16" x14ac:dyDescent="0.25">
      <c r="A56" s="227"/>
      <c r="B56" s="659" t="s">
        <v>1852</v>
      </c>
      <c r="C56" s="227"/>
      <c r="D56" s="227"/>
      <c r="E56" s="227"/>
      <c r="F56" s="227"/>
      <c r="G56" s="227"/>
      <c r="H56" s="227"/>
      <c r="I56" s="227"/>
      <c r="J56" s="227"/>
      <c r="K56" s="227"/>
      <c r="N56" s="953"/>
      <c r="O56" s="953"/>
      <c r="P56" s="954"/>
    </row>
    <row r="57" spans="1:16" ht="12" customHeight="1" x14ac:dyDescent="0.25">
      <c r="A57" s="227"/>
      <c r="B57" s="227"/>
      <c r="C57" s="227"/>
      <c r="D57" s="227"/>
      <c r="E57" s="227"/>
      <c r="F57" s="227"/>
      <c r="G57" s="227"/>
      <c r="H57" s="227"/>
      <c r="I57" s="227"/>
      <c r="J57" s="227"/>
      <c r="K57" s="227"/>
      <c r="N57" s="953"/>
      <c r="O57" s="953"/>
      <c r="P57" s="954"/>
    </row>
    <row r="58" spans="1:16" ht="28.5" customHeight="1" x14ac:dyDescent="0.25">
      <c r="A58" s="227"/>
      <c r="B58" s="405" t="s">
        <v>381</v>
      </c>
      <c r="C58" s="430" t="s">
        <v>382</v>
      </c>
      <c r="D58" s="406" t="s">
        <v>29</v>
      </c>
      <c r="E58" s="406" t="s">
        <v>384</v>
      </c>
      <c r="F58" s="406" t="s">
        <v>383</v>
      </c>
      <c r="G58" s="407" t="s">
        <v>182</v>
      </c>
      <c r="H58" s="227"/>
      <c r="I58" s="227"/>
      <c r="J58" s="227"/>
      <c r="K58" s="227"/>
      <c r="M58" s="54"/>
      <c r="N58" s="1629" t="s">
        <v>385</v>
      </c>
      <c r="O58" s="1629"/>
      <c r="P58" s="83">
        <v>3</v>
      </c>
    </row>
    <row r="59" spans="1:16" x14ac:dyDescent="0.25">
      <c r="A59" s="227"/>
      <c r="B59" s="206"/>
      <c r="C59" s="206" t="s">
        <v>129</v>
      </c>
      <c r="D59" s="206"/>
      <c r="E59" s="206"/>
      <c r="F59" s="431" t="str">
        <f>IFERROR(VLOOKUP(C59,N58:P62,3,FALSE),"")</f>
        <v/>
      </c>
      <c r="G59" s="431" t="str">
        <f>IF(F59="","",IF(E59&gt;=F59,"Yes","No"))</f>
        <v/>
      </c>
      <c r="H59" s="227"/>
      <c r="I59" s="227"/>
      <c r="J59" s="227"/>
      <c r="K59" s="227"/>
      <c r="M59" s="54"/>
      <c r="N59" s="1629" t="s">
        <v>386</v>
      </c>
      <c r="O59" s="1629"/>
      <c r="P59" s="83">
        <v>3.5</v>
      </c>
    </row>
    <row r="60" spans="1:16" x14ac:dyDescent="0.25">
      <c r="A60" s="227"/>
      <c r="B60" s="184"/>
      <c r="C60" s="955" t="s">
        <v>129</v>
      </c>
      <c r="D60" s="184"/>
      <c r="E60" s="184"/>
      <c r="F60" s="51" t="str">
        <f>IFERROR(VLOOKUP(C60,N58:P62,3,FALSE),"")</f>
        <v/>
      </c>
      <c r="G60" s="51" t="str">
        <f>IF(F60="","",IF(E60&gt;=F60,"Yes","No"))</f>
        <v/>
      </c>
      <c r="H60" s="227"/>
      <c r="I60" s="227"/>
      <c r="J60" s="227"/>
      <c r="K60" s="227"/>
      <c r="M60" s="54"/>
      <c r="N60" s="1630" t="s">
        <v>387</v>
      </c>
      <c r="O60" s="1630"/>
      <c r="P60" s="1630"/>
    </row>
    <row r="61" spans="1:16" ht="18" customHeight="1" x14ac:dyDescent="0.25">
      <c r="A61" s="227"/>
      <c r="B61" s="227"/>
      <c r="C61" s="227"/>
      <c r="D61" s="227"/>
      <c r="E61" s="227"/>
      <c r="F61" s="227"/>
      <c r="G61" s="227"/>
      <c r="H61" s="227"/>
      <c r="I61" s="227"/>
      <c r="J61" s="227"/>
      <c r="K61" s="227"/>
      <c r="N61" s="1629" t="s">
        <v>389</v>
      </c>
      <c r="O61" s="1629"/>
      <c r="P61" s="83">
        <v>3</v>
      </c>
    </row>
    <row r="62" spans="1:16" ht="18" customHeight="1" x14ac:dyDescent="0.25">
      <c r="A62" s="227"/>
      <c r="B62" s="1494" t="s">
        <v>1909</v>
      </c>
      <c r="C62" s="1494"/>
      <c r="D62" s="218" t="str">
        <f>IF(F51="Yes",IF(OR(G59="No",G60="No"),"No",IF(OR(G59="Yes",G60="Yes"),"Yes","")),"")</f>
        <v/>
      </c>
      <c r="E62" s="227"/>
      <c r="F62" s="227"/>
      <c r="G62" s="227"/>
      <c r="H62" s="227"/>
      <c r="I62" s="227"/>
      <c r="J62" s="227"/>
      <c r="K62" s="227"/>
      <c r="N62" s="1629" t="s">
        <v>390</v>
      </c>
      <c r="O62" s="1629"/>
      <c r="P62" s="83">
        <v>3.5</v>
      </c>
    </row>
    <row r="63" spans="1:16" ht="19.5" customHeight="1" x14ac:dyDescent="0.25">
      <c r="A63" s="227"/>
      <c r="B63" s="227"/>
      <c r="C63" s="227"/>
      <c r="D63" s="227"/>
      <c r="E63" s="227"/>
      <c r="F63" s="227"/>
      <c r="G63" s="227"/>
      <c r="H63" s="227"/>
      <c r="I63" s="227"/>
      <c r="J63" s="227"/>
      <c r="K63" s="227"/>
    </row>
    <row r="64" spans="1:16" ht="16.5" customHeight="1" x14ac:dyDescent="0.25">
      <c r="A64" s="1410" t="s">
        <v>200</v>
      </c>
      <c r="B64" s="1410"/>
      <c r="C64" s="1410"/>
      <c r="D64" s="227"/>
      <c r="E64" s="227"/>
      <c r="F64" s="227"/>
      <c r="G64" s="227"/>
      <c r="H64" s="227"/>
      <c r="I64" s="227"/>
      <c r="J64" s="227"/>
      <c r="K64" s="227"/>
    </row>
    <row r="65" spans="1:12" x14ac:dyDescent="0.25">
      <c r="A65" s="227"/>
      <c r="B65" s="227"/>
      <c r="C65" s="227"/>
      <c r="D65" s="227"/>
      <c r="E65" s="227"/>
      <c r="F65" s="227"/>
      <c r="G65" s="227"/>
      <c r="H65" s="227"/>
      <c r="I65" s="227"/>
      <c r="J65" s="227"/>
      <c r="K65" s="227"/>
    </row>
    <row r="66" spans="1:12" ht="18" customHeight="1" x14ac:dyDescent="0.25">
      <c r="A66" s="227"/>
      <c r="B66" s="1446" t="s">
        <v>2103</v>
      </c>
      <c r="C66" s="1447"/>
      <c r="D66" s="1447"/>
      <c r="E66" s="1447"/>
      <c r="F66" s="1447"/>
      <c r="G66" s="1045" t="s">
        <v>2101</v>
      </c>
      <c r="H66" s="1443" t="s">
        <v>2102</v>
      </c>
      <c r="I66" s="1444"/>
      <c r="J66" s="227"/>
      <c r="K66" s="227"/>
    </row>
    <row r="67" spans="1:12" ht="21" customHeight="1" x14ac:dyDescent="0.25">
      <c r="A67" s="227"/>
      <c r="B67" s="1436" t="s">
        <v>1248</v>
      </c>
      <c r="C67" s="1437"/>
      <c r="D67" s="1437"/>
      <c r="E67" s="1437"/>
      <c r="F67" s="1438"/>
      <c r="G67" s="633" t="s">
        <v>129</v>
      </c>
      <c r="H67" s="1441"/>
      <c r="I67" s="1442"/>
      <c r="J67" s="227"/>
      <c r="K67" s="227"/>
    </row>
    <row r="68" spans="1:12" ht="21" customHeight="1" x14ac:dyDescent="0.25">
      <c r="A68" s="227"/>
      <c r="B68" s="1436" t="s">
        <v>1892</v>
      </c>
      <c r="C68" s="1437"/>
      <c r="D68" s="1437"/>
      <c r="E68" s="1437"/>
      <c r="F68" s="1438"/>
      <c r="G68" s="633" t="s">
        <v>129</v>
      </c>
      <c r="H68" s="1441"/>
      <c r="I68" s="1442"/>
      <c r="J68" s="227"/>
      <c r="K68" s="227"/>
    </row>
    <row r="69" spans="1:12" ht="18" customHeight="1" x14ac:dyDescent="0.25">
      <c r="A69" s="227"/>
      <c r="B69" s="227"/>
      <c r="C69" s="227"/>
      <c r="D69" s="227"/>
      <c r="E69" s="227"/>
      <c r="F69" s="227"/>
      <c r="G69" s="227"/>
      <c r="H69" s="227"/>
      <c r="I69" s="227"/>
      <c r="J69" s="227"/>
      <c r="K69" s="227"/>
    </row>
    <row r="70" spans="1:12" ht="16.5" customHeight="1" x14ac:dyDescent="0.25">
      <c r="A70" s="1410" t="s">
        <v>25</v>
      </c>
      <c r="B70" s="1410"/>
      <c r="C70" s="1410"/>
      <c r="D70" s="227"/>
      <c r="E70" s="227"/>
      <c r="F70" s="227"/>
      <c r="G70" s="227"/>
      <c r="H70" s="227"/>
      <c r="I70" s="227"/>
      <c r="J70" s="227"/>
      <c r="K70" s="227"/>
    </row>
    <row r="71" spans="1:12" ht="17.25" customHeight="1" x14ac:dyDescent="0.25">
      <c r="A71" s="227"/>
      <c r="B71" s="227"/>
      <c r="C71" s="227"/>
      <c r="D71" s="227"/>
      <c r="E71" s="227"/>
      <c r="F71" s="227"/>
      <c r="G71" s="227"/>
      <c r="H71" s="227"/>
      <c r="I71" s="227"/>
      <c r="J71" s="227"/>
      <c r="K71" s="227"/>
    </row>
    <row r="72" spans="1:12" ht="18" customHeight="1" x14ac:dyDescent="0.25">
      <c r="A72" s="227"/>
      <c r="B72" s="192" t="s">
        <v>522</v>
      </c>
      <c r="C72" s="1190" t="str">
        <f>IF(D11="Option B: Heat pump water heating",IF(D62="Yes",2,0),"")</f>
        <v/>
      </c>
      <c r="D72" s="227"/>
      <c r="E72" s="227"/>
      <c r="F72" s="227"/>
      <c r="G72" s="227"/>
      <c r="H72" s="227"/>
      <c r="I72" s="227"/>
      <c r="J72" s="227"/>
      <c r="K72" s="227"/>
    </row>
    <row r="73" spans="1:12" ht="18" customHeight="1" x14ac:dyDescent="0.25">
      <c r="A73" s="227"/>
      <c r="B73" s="192" t="s">
        <v>521</v>
      </c>
      <c r="C73" s="1190" t="str">
        <f>IF(D11="Option B: Heat pump water heating",IF(AND(G67="Submitted",G68="Submitted",C72&gt;0),"Yes","No"),"")</f>
        <v/>
      </c>
      <c r="D73" s="227"/>
      <c r="E73" s="227"/>
      <c r="F73" s="227"/>
      <c r="G73" s="227"/>
      <c r="H73" s="227"/>
      <c r="I73" s="227"/>
      <c r="J73" s="227"/>
      <c r="K73" s="227"/>
    </row>
    <row r="74" spans="1:12" x14ac:dyDescent="0.25">
      <c r="A74" s="227"/>
      <c r="B74" s="227"/>
      <c r="C74" s="227"/>
      <c r="D74" s="227"/>
      <c r="E74" s="227"/>
      <c r="F74" s="227"/>
      <c r="G74" s="227"/>
      <c r="H74" s="227"/>
      <c r="I74" s="227"/>
      <c r="J74" s="227"/>
      <c r="K74" s="227"/>
    </row>
    <row r="75" spans="1:12" x14ac:dyDescent="0.25">
      <c r="A75" s="227"/>
      <c r="B75" s="227"/>
      <c r="C75" s="227"/>
      <c r="D75" s="227"/>
      <c r="E75" s="227"/>
      <c r="F75" s="227"/>
      <c r="G75" s="227"/>
      <c r="H75" s="227"/>
      <c r="I75" s="227"/>
      <c r="J75" s="227"/>
      <c r="K75" s="227"/>
    </row>
    <row r="76" spans="1:12" hidden="1" x14ac:dyDescent="0.25">
      <c r="A76" s="54"/>
      <c r="B76" s="54"/>
      <c r="C76" s="54"/>
      <c r="D76" s="54"/>
      <c r="E76" s="54"/>
      <c r="F76" s="53"/>
      <c r="G76" s="53"/>
      <c r="H76" s="53"/>
      <c r="I76" s="53"/>
      <c r="J76" s="53"/>
      <c r="K76" s="53"/>
      <c r="L76" s="53"/>
    </row>
    <row r="77" spans="1:12" hidden="1" x14ac:dyDescent="0.25"/>
    <row r="78" spans="1:12" hidden="1" x14ac:dyDescent="0.25"/>
    <row r="79" spans="1:12" hidden="1" x14ac:dyDescent="0.25"/>
    <row r="80" spans="1:12"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sheetData>
  <sheetProtection algorithmName="SHA-512" hashValue="BhJVsbnQgCPzKjtllNJVu5e19V+KL/2gmQKtnv+LRWwGc4Mv/UVDsIpPlRkyG53Np1X1eDoUKiSjrLlB9xIcug==" saltValue="anLokrexEOdW6IZCRqJuzw==" spinCount="100000" sheet="1" objects="1" scenarios="1"/>
  <mergeCells count="40">
    <mergeCell ref="H33:I33"/>
    <mergeCell ref="B66:F66"/>
    <mergeCell ref="H66:I66"/>
    <mergeCell ref="H67:I67"/>
    <mergeCell ref="H68:I68"/>
    <mergeCell ref="H34:I34"/>
    <mergeCell ref="A36:C36"/>
    <mergeCell ref="A70:C70"/>
    <mergeCell ref="A64:C64"/>
    <mergeCell ref="A43:C43"/>
    <mergeCell ref="N61:O61"/>
    <mergeCell ref="N62:O62"/>
    <mergeCell ref="N54:O55"/>
    <mergeCell ref="A47:C47"/>
    <mergeCell ref="B68:F68"/>
    <mergeCell ref="B62:C62"/>
    <mergeCell ref="B67:F67"/>
    <mergeCell ref="B14:E14"/>
    <mergeCell ref="B26:E26"/>
    <mergeCell ref="B15:E15"/>
    <mergeCell ref="B34:F34"/>
    <mergeCell ref="B27:E27"/>
    <mergeCell ref="A31:C31"/>
    <mergeCell ref="B33:F33"/>
    <mergeCell ref="A1:K1"/>
    <mergeCell ref="P54:P55"/>
    <mergeCell ref="N58:O58"/>
    <mergeCell ref="N59:O59"/>
    <mergeCell ref="N60:P60"/>
    <mergeCell ref="H2:H4"/>
    <mergeCell ref="A5:K7"/>
    <mergeCell ref="B11:C11"/>
    <mergeCell ref="D11:E11"/>
    <mergeCell ref="B51:E51"/>
    <mergeCell ref="B29:C29"/>
    <mergeCell ref="A9:K9"/>
    <mergeCell ref="A17:K17"/>
    <mergeCell ref="A41:K41"/>
    <mergeCell ref="A19:C19"/>
    <mergeCell ref="B13:E13"/>
  </mergeCells>
  <dataValidations count="6">
    <dataValidation allowBlank="1" showInputMessage="1" showErrorMessage="1" prompt="As the conditions of air temperature and relative humidity are not indicated in the VBEEC, use COP values calculated at conditions which are the most representative of winter_x000a_conditions at the location of the project." sqref="E58:E60"/>
    <dataValidation type="list" allowBlank="1" showInputMessage="1" showErrorMessage="1" sqref="D11:E11">
      <formula1>"Select,Option A: Solar water heating, Option B: Heat pump water heating"</formula1>
    </dataValidation>
    <dataValidation type="list" allowBlank="1" showInputMessage="1" showErrorMessage="1" sqref="G34 G67:G68">
      <formula1>"Select,Submitted,Not submitted"</formula1>
    </dataValidation>
    <dataValidation type="list" allowBlank="1" showInputMessage="1" showErrorMessage="1" sqref="C59:C60">
      <formula1>"Select,Air-heated heat pumps, Water-heated heat pumps, Heat recovery AC - Hot water supply only, Heat recovery AC - AC and hot water supply"</formula1>
    </dataValidation>
    <dataValidation allowBlank="1" showInputMessage="1" showErrorMessage="1" prompt="Name of the equipment" sqref="B59:B60"/>
    <dataValidation type="list" allowBlank="1" showInputMessage="1" showErrorMessage="1" sqref="F26 F51">
      <formula1>"Select,Yes,No"</formula1>
    </dataValidation>
  </dataValidations>
  <hyperlinks>
    <hyperlink ref="I2" location="'E-1 Passive Design'!B3" tooltip="E-1" display="E-1"/>
    <hyperlink ref="I3" location="'E-2 Building Envelope'!B3" tooltip="E-2" display="E-2"/>
    <hyperlink ref="I4" location="'E-3 Home cooling'!B3" tooltip="E-3" display="E-3"/>
    <hyperlink ref="J3" location="'E-6 Energy Efficient Appliances'!E3" tooltip="E-6" display="E-6"/>
    <hyperlink ref="J2" location="'E-4 Artificial Lighting'!D3" tooltip="E-4" display="E-4"/>
    <hyperlink ref="K3" location="'Energy BPC'!B3" tooltip="BPC" display="BPC"/>
    <hyperlink ref="J4" location="'E-7 Energy Monitor'!D3" tooltip="E-7" display="E-7"/>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rgb="FF58B527"/>
  </sheetPr>
  <dimension ref="A1:O85"/>
  <sheetViews>
    <sheetView showRowColHeaders="0" workbookViewId="0">
      <pane ySplit="8" topLeftCell="A9" activePane="bottomLeft" state="frozen"/>
      <selection activeCell="E9" sqref="E9:F9"/>
      <selection pane="bottomLeft" activeCell="K4" sqref="K4"/>
    </sheetView>
  </sheetViews>
  <sheetFormatPr defaultColWidth="0" defaultRowHeight="15" zeroHeight="1" x14ac:dyDescent="0.25"/>
  <cols>
    <col min="1" max="1" width="3.5703125" style="42" customWidth="1"/>
    <col min="2" max="2" width="19.85546875" style="42" customWidth="1"/>
    <col min="3" max="3" width="17.85546875" style="42" customWidth="1"/>
    <col min="4" max="4" width="14.85546875" style="42" customWidth="1"/>
    <col min="5" max="6" width="20.7109375" style="42" customWidth="1"/>
    <col min="7" max="7" width="19.42578125" style="42" customWidth="1"/>
    <col min="8" max="8" width="21.5703125" style="42" customWidth="1"/>
    <col min="9" max="12" width="9.28515625" style="42" customWidth="1"/>
    <col min="13" max="13" width="50.28515625" style="42" hidden="1" customWidth="1"/>
    <col min="14" max="14" width="9.140625" style="42" hidden="1" customWidth="1"/>
    <col min="15" max="15" width="35.28515625" style="42" hidden="1" customWidth="1"/>
    <col min="16" max="16384" width="9.140625" style="42" hidden="1"/>
  </cols>
  <sheetData>
    <row r="1" spans="1:14" ht="25.5" customHeight="1" x14ac:dyDescent="0.25">
      <c r="A1" s="216" t="s">
        <v>288</v>
      </c>
      <c r="B1" s="215"/>
      <c r="C1" s="215"/>
      <c r="D1" s="215"/>
      <c r="E1" s="215"/>
      <c r="F1" s="96"/>
      <c r="G1" s="96"/>
      <c r="H1" s="96"/>
      <c r="I1" s="96"/>
      <c r="J1" s="210"/>
      <c r="K1" s="210"/>
      <c r="L1" s="96"/>
      <c r="M1" s="65"/>
    </row>
    <row r="2" spans="1:14" ht="15" customHeight="1" x14ac:dyDescent="0.25">
      <c r="A2" s="54"/>
      <c r="B2" s="54"/>
      <c r="C2" s="54"/>
      <c r="D2" s="54"/>
      <c r="E2" s="54"/>
      <c r="F2" s="53"/>
      <c r="G2" s="1426" t="s">
        <v>544</v>
      </c>
      <c r="H2" s="1426"/>
      <c r="I2" s="1426"/>
      <c r="J2" s="239" t="s">
        <v>62</v>
      </c>
      <c r="K2" s="239" t="s">
        <v>73</v>
      </c>
      <c r="L2" s="239"/>
      <c r="M2" s="53"/>
    </row>
    <row r="3" spans="1:14" ht="15" customHeight="1" x14ac:dyDescent="0.25">
      <c r="A3" s="54"/>
      <c r="B3" s="54"/>
      <c r="C3" s="54"/>
      <c r="D3" s="54"/>
      <c r="E3" s="54"/>
      <c r="F3" s="53"/>
      <c r="G3" s="1426"/>
      <c r="H3" s="1426"/>
      <c r="I3" s="1426"/>
      <c r="J3" s="239" t="s">
        <v>66</v>
      </c>
      <c r="K3" s="239" t="s">
        <v>77</v>
      </c>
      <c r="L3" s="239" t="s">
        <v>79</v>
      </c>
      <c r="M3" s="53"/>
    </row>
    <row r="4" spans="1:14" ht="15" customHeight="1" x14ac:dyDescent="0.25">
      <c r="A4" s="54"/>
      <c r="B4" s="54"/>
      <c r="C4" s="54"/>
      <c r="D4" s="54"/>
      <c r="E4" s="54"/>
      <c r="F4" s="53"/>
      <c r="G4" s="1427"/>
      <c r="H4" s="1427"/>
      <c r="I4" s="1427"/>
      <c r="J4" s="239" t="s">
        <v>70</v>
      </c>
      <c r="K4" s="239" t="s">
        <v>102</v>
      </c>
      <c r="L4" s="240"/>
      <c r="M4" s="53"/>
    </row>
    <row r="5" spans="1:14" ht="20.25" customHeight="1" x14ac:dyDescent="0.25">
      <c r="A5" s="1417" t="s">
        <v>2180</v>
      </c>
      <c r="B5" s="1418"/>
      <c r="C5" s="1418"/>
      <c r="D5" s="1418"/>
      <c r="E5" s="1418"/>
      <c r="F5" s="1418"/>
      <c r="G5" s="1418"/>
      <c r="H5" s="1418"/>
      <c r="I5" s="1418"/>
      <c r="J5" s="1418"/>
      <c r="K5" s="1418"/>
      <c r="L5" s="1418"/>
      <c r="M5" s="193"/>
      <c r="N5" s="194"/>
    </row>
    <row r="6" spans="1:14" ht="20.25" customHeight="1" x14ac:dyDescent="0.25">
      <c r="A6" s="1420"/>
      <c r="B6" s="1421"/>
      <c r="C6" s="1421"/>
      <c r="D6" s="1421"/>
      <c r="E6" s="1421"/>
      <c r="F6" s="1421"/>
      <c r="G6" s="1421"/>
      <c r="H6" s="1421"/>
      <c r="I6" s="1421"/>
      <c r="J6" s="1421"/>
      <c r="K6" s="1421"/>
      <c r="L6" s="1421"/>
      <c r="M6" s="195"/>
      <c r="N6" s="196"/>
    </row>
    <row r="7" spans="1:14" ht="20.25" customHeight="1" x14ac:dyDescent="0.25">
      <c r="A7" s="1423"/>
      <c r="B7" s="1424"/>
      <c r="C7" s="1424"/>
      <c r="D7" s="1424"/>
      <c r="E7" s="1424"/>
      <c r="F7" s="1424"/>
      <c r="G7" s="1424"/>
      <c r="H7" s="1424"/>
      <c r="I7" s="1424"/>
      <c r="J7" s="1424"/>
      <c r="K7" s="1424"/>
      <c r="L7" s="1424"/>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1432" t="s">
        <v>191</v>
      </c>
      <c r="B9" s="1432"/>
      <c r="C9" s="1432"/>
      <c r="D9" s="1432"/>
      <c r="E9" s="1432"/>
      <c r="F9" s="1432"/>
      <c r="G9" s="1432"/>
      <c r="H9" s="1432"/>
      <c r="I9" s="1432"/>
      <c r="J9" s="1432"/>
      <c r="K9" s="1432"/>
      <c r="L9" s="1432"/>
      <c r="M9" s="6"/>
    </row>
    <row r="10" spans="1:14" ht="16.5" customHeight="1" x14ac:dyDescent="0.25">
      <c r="A10" s="53"/>
      <c r="B10" s="54"/>
      <c r="C10" s="54"/>
      <c r="D10" s="54"/>
      <c r="E10" s="54"/>
      <c r="F10" s="53"/>
      <c r="G10" s="53"/>
      <c r="H10" s="53"/>
      <c r="I10" s="53"/>
      <c r="J10" s="53"/>
      <c r="K10" s="53"/>
      <c r="L10" s="53"/>
      <c r="M10" s="53"/>
    </row>
    <row r="11" spans="1:14" ht="19.5" customHeight="1" x14ac:dyDescent="0.25">
      <c r="A11" s="53"/>
      <c r="B11" s="1428" t="s">
        <v>192</v>
      </c>
      <c r="C11" s="1429"/>
      <c r="D11" s="1429"/>
      <c r="E11" s="1429"/>
      <c r="F11" s="485" t="s">
        <v>157</v>
      </c>
      <c r="G11" s="485" t="s">
        <v>56</v>
      </c>
      <c r="H11" s="98" t="s">
        <v>521</v>
      </c>
      <c r="I11" s="53"/>
      <c r="J11" s="53"/>
      <c r="K11" s="53"/>
      <c r="L11" s="53"/>
      <c r="M11" s="53"/>
    </row>
    <row r="12" spans="1:14" ht="40.5" customHeight="1" x14ac:dyDescent="0.25">
      <c r="A12" s="53"/>
      <c r="B12" s="1633" t="s">
        <v>23</v>
      </c>
      <c r="C12" s="1634"/>
      <c r="D12" s="1634"/>
      <c r="E12" s="1635"/>
      <c r="F12" s="59">
        <v>3</v>
      </c>
      <c r="G12" s="59">
        <f>C68</f>
        <v>0</v>
      </c>
      <c r="H12" s="59" t="str">
        <f>C69</f>
        <v>No</v>
      </c>
      <c r="I12" s="53"/>
      <c r="J12" s="53"/>
      <c r="K12" s="53"/>
      <c r="L12" s="53"/>
      <c r="M12" s="53"/>
    </row>
    <row r="13" spans="1:14" ht="16.5" customHeight="1" x14ac:dyDescent="0.25">
      <c r="A13" s="54"/>
      <c r="B13" s="54"/>
      <c r="C13" s="54"/>
      <c r="D13" s="54"/>
      <c r="E13" s="54"/>
      <c r="F13" s="53"/>
      <c r="G13" s="53"/>
      <c r="H13" s="53"/>
      <c r="I13" s="53"/>
      <c r="J13" s="53"/>
      <c r="K13" s="53"/>
      <c r="L13" s="53"/>
      <c r="M13" s="53"/>
    </row>
    <row r="14" spans="1:14" ht="18" customHeight="1" x14ac:dyDescent="0.25">
      <c r="A14" s="1432" t="s">
        <v>265</v>
      </c>
      <c r="B14" s="1432"/>
      <c r="C14" s="1432"/>
      <c r="D14" s="1432"/>
      <c r="E14" s="1432"/>
      <c r="F14" s="1432"/>
      <c r="G14" s="1432"/>
      <c r="H14" s="1432"/>
      <c r="I14" s="1432"/>
      <c r="J14" s="1432"/>
      <c r="K14" s="1432"/>
      <c r="L14" s="1432"/>
      <c r="M14" s="53"/>
    </row>
    <row r="15" spans="1:14" ht="15" customHeight="1" x14ac:dyDescent="0.25">
      <c r="A15" s="54"/>
      <c r="B15" s="54"/>
      <c r="C15" s="54"/>
      <c r="D15" s="54"/>
      <c r="E15" s="54"/>
      <c r="F15" s="53"/>
      <c r="G15" s="53"/>
      <c r="H15" s="53"/>
      <c r="I15" s="53"/>
      <c r="J15" s="53"/>
      <c r="K15" s="53"/>
      <c r="L15" s="53"/>
      <c r="M15" s="53"/>
    </row>
    <row r="16" spans="1:14" ht="15" customHeight="1" x14ac:dyDescent="0.25">
      <c r="A16" s="54"/>
      <c r="B16" s="649" t="s">
        <v>1501</v>
      </c>
      <c r="C16" s="54"/>
      <c r="D16" s="54"/>
      <c r="E16" s="54"/>
      <c r="F16" s="53"/>
      <c r="G16" s="53"/>
      <c r="H16" s="53"/>
      <c r="I16" s="53"/>
      <c r="J16" s="53"/>
      <c r="K16" s="53"/>
      <c r="L16" s="53"/>
      <c r="M16" s="53"/>
    </row>
    <row r="17" spans="1:13" ht="15" customHeight="1" x14ac:dyDescent="0.25">
      <c r="A17" s="54"/>
      <c r="B17" s="54"/>
      <c r="C17" s="54"/>
      <c r="D17" s="54"/>
      <c r="E17" s="54"/>
      <c r="F17" s="53"/>
      <c r="G17" s="53"/>
      <c r="H17" s="53"/>
      <c r="I17" s="53"/>
      <c r="J17" s="53"/>
      <c r="K17" s="53"/>
      <c r="L17" s="53"/>
      <c r="M17" s="53"/>
    </row>
    <row r="18" spans="1:13" ht="18" customHeight="1" x14ac:dyDescent="0.25">
      <c r="A18" s="54"/>
      <c r="B18" s="1642" t="s">
        <v>292</v>
      </c>
      <c r="C18" s="1642"/>
      <c r="D18" s="1642"/>
      <c r="E18" s="1642"/>
      <c r="F18" s="1642"/>
      <c r="G18" s="1642"/>
      <c r="H18" s="1642"/>
      <c r="I18" s="1642"/>
      <c r="J18" s="53"/>
      <c r="K18" s="53"/>
      <c r="L18" s="53"/>
      <c r="M18" s="53"/>
    </row>
    <row r="19" spans="1:13" ht="18" customHeight="1" x14ac:dyDescent="0.25">
      <c r="A19" s="54"/>
      <c r="B19" s="1642"/>
      <c r="C19" s="1642"/>
      <c r="D19" s="1642"/>
      <c r="E19" s="1642"/>
      <c r="F19" s="1642"/>
      <c r="G19" s="1642"/>
      <c r="H19" s="1642"/>
      <c r="I19" s="1642"/>
      <c r="J19" s="53"/>
      <c r="K19" s="53"/>
      <c r="L19" s="53"/>
      <c r="M19" s="53"/>
    </row>
    <row r="20" spans="1:13" x14ac:dyDescent="0.25">
      <c r="A20" s="54"/>
      <c r="B20" s="802"/>
      <c r="C20" s="802"/>
      <c r="D20" s="802"/>
      <c r="E20" s="802"/>
      <c r="F20" s="802"/>
      <c r="G20" s="802"/>
      <c r="H20" s="802"/>
      <c r="I20" s="802"/>
      <c r="J20" s="53"/>
      <c r="K20" s="53"/>
      <c r="L20" s="53"/>
      <c r="M20" s="53"/>
    </row>
    <row r="21" spans="1:13" ht="15" customHeight="1" x14ac:dyDescent="0.25">
      <c r="A21" s="54"/>
      <c r="B21" s="762" t="s">
        <v>1502</v>
      </c>
      <c r="C21" s="757"/>
      <c r="D21" s="757"/>
      <c r="E21" s="757"/>
      <c r="F21" s="757"/>
      <c r="G21" s="757"/>
      <c r="H21" s="757"/>
      <c r="I21" s="758"/>
      <c r="J21" s="53"/>
      <c r="K21" s="53"/>
      <c r="L21" s="53"/>
      <c r="M21" s="53"/>
    </row>
    <row r="22" spans="1:13" ht="15" customHeight="1" x14ac:dyDescent="0.25">
      <c r="A22" s="54"/>
      <c r="B22" s="803" t="s">
        <v>293</v>
      </c>
      <c r="C22" s="756"/>
      <c r="D22" s="756"/>
      <c r="E22" s="756"/>
      <c r="F22" s="756"/>
      <c r="G22" s="756"/>
      <c r="H22" s="756"/>
      <c r="I22" s="759"/>
      <c r="J22" s="53"/>
      <c r="K22" s="53"/>
      <c r="L22" s="53"/>
      <c r="M22" s="53"/>
    </row>
    <row r="23" spans="1:13" ht="15" customHeight="1" x14ac:dyDescent="0.25">
      <c r="A23" s="54"/>
      <c r="B23" s="803" t="s">
        <v>294</v>
      </c>
      <c r="C23" s="756"/>
      <c r="D23" s="756"/>
      <c r="E23" s="756"/>
      <c r="F23" s="756"/>
      <c r="G23" s="756"/>
      <c r="H23" s="756"/>
      <c r="I23" s="759"/>
      <c r="J23" s="53"/>
      <c r="K23" s="53"/>
      <c r="L23" s="53"/>
      <c r="M23" s="53"/>
    </row>
    <row r="24" spans="1:13" ht="15" customHeight="1" x14ac:dyDescent="0.25">
      <c r="A24" s="54"/>
      <c r="B24" s="803" t="s">
        <v>295</v>
      </c>
      <c r="C24" s="756"/>
      <c r="D24" s="756"/>
      <c r="E24" s="756"/>
      <c r="F24" s="756"/>
      <c r="G24" s="756"/>
      <c r="H24" s="756"/>
      <c r="I24" s="759"/>
      <c r="J24" s="53"/>
      <c r="K24" s="53"/>
      <c r="L24" s="53"/>
      <c r="M24" s="53"/>
    </row>
    <row r="25" spans="1:13" ht="15" customHeight="1" x14ac:dyDescent="0.25">
      <c r="A25" s="54"/>
      <c r="B25" s="803" t="s">
        <v>296</v>
      </c>
      <c r="C25" s="756"/>
      <c r="D25" s="756"/>
      <c r="E25" s="756"/>
      <c r="F25" s="756"/>
      <c r="G25" s="756"/>
      <c r="H25" s="756"/>
      <c r="I25" s="759"/>
      <c r="J25" s="53"/>
      <c r="K25" s="53"/>
      <c r="L25" s="53"/>
      <c r="M25" s="53"/>
    </row>
    <row r="26" spans="1:13" ht="15" customHeight="1" x14ac:dyDescent="0.25">
      <c r="A26" s="54"/>
      <c r="B26" s="803" t="s">
        <v>297</v>
      </c>
      <c r="C26" s="756"/>
      <c r="D26" s="756"/>
      <c r="E26" s="756"/>
      <c r="F26" s="756"/>
      <c r="G26" s="756"/>
      <c r="H26" s="756"/>
      <c r="I26" s="759"/>
      <c r="J26" s="53"/>
      <c r="K26" s="53"/>
      <c r="L26" s="53"/>
      <c r="M26" s="53"/>
    </row>
    <row r="27" spans="1:13" ht="15" customHeight="1" x14ac:dyDescent="0.25">
      <c r="A27" s="54"/>
      <c r="B27" s="803" t="s">
        <v>298</v>
      </c>
      <c r="C27" s="756"/>
      <c r="D27" s="756"/>
      <c r="E27" s="756"/>
      <c r="F27" s="756"/>
      <c r="G27" s="756"/>
      <c r="H27" s="756"/>
      <c r="I27" s="759"/>
      <c r="J27" s="53"/>
      <c r="K27" s="53"/>
      <c r="L27" s="53"/>
      <c r="M27" s="53"/>
    </row>
    <row r="28" spans="1:13" ht="15" customHeight="1" x14ac:dyDescent="0.25">
      <c r="A28" s="54"/>
      <c r="B28" s="803" t="s">
        <v>299</v>
      </c>
      <c r="C28" s="756"/>
      <c r="D28" s="756"/>
      <c r="E28" s="756"/>
      <c r="F28" s="756"/>
      <c r="G28" s="756"/>
      <c r="H28" s="756"/>
      <c r="I28" s="759"/>
      <c r="J28" s="53"/>
      <c r="K28" s="53"/>
      <c r="L28" s="53"/>
      <c r="M28" s="53"/>
    </row>
    <row r="29" spans="1:13" ht="15" customHeight="1" x14ac:dyDescent="0.25">
      <c r="A29" s="54"/>
      <c r="B29" s="804" t="s">
        <v>1503</v>
      </c>
      <c r="C29" s="760"/>
      <c r="D29" s="760"/>
      <c r="E29" s="760"/>
      <c r="F29" s="760"/>
      <c r="G29" s="760"/>
      <c r="H29" s="760"/>
      <c r="I29" s="761"/>
      <c r="J29" s="53"/>
      <c r="K29" s="53"/>
      <c r="L29" s="53"/>
      <c r="M29" s="53"/>
    </row>
    <row r="30" spans="1:13" ht="18.75" customHeight="1" x14ac:dyDescent="0.25">
      <c r="A30" s="54"/>
      <c r="B30" s="54"/>
      <c r="C30" s="54"/>
      <c r="D30" s="54"/>
      <c r="E30" s="54"/>
      <c r="F30" s="53"/>
      <c r="G30" s="53"/>
      <c r="H30" s="53"/>
      <c r="I30" s="53"/>
      <c r="J30" s="53"/>
      <c r="K30" s="53"/>
      <c r="L30" s="53"/>
      <c r="M30" s="53"/>
    </row>
    <row r="31" spans="1:13" ht="18" customHeight="1" x14ac:dyDescent="0.25">
      <c r="A31" s="1432" t="s">
        <v>26</v>
      </c>
      <c r="B31" s="1432"/>
      <c r="C31" s="1432"/>
      <c r="D31" s="1432"/>
      <c r="E31" s="1432"/>
      <c r="F31" s="1432"/>
      <c r="G31" s="1432"/>
      <c r="H31" s="1432"/>
      <c r="I31" s="1432"/>
      <c r="J31" s="1432"/>
      <c r="K31" s="1432"/>
      <c r="L31" s="1432"/>
      <c r="M31" s="6"/>
    </row>
    <row r="32" spans="1:13" ht="12.75" customHeight="1" x14ac:dyDescent="0.25">
      <c r="A32" s="54"/>
      <c r="B32" s="54"/>
      <c r="C32" s="54"/>
      <c r="D32" s="54"/>
      <c r="E32" s="54"/>
      <c r="F32" s="53"/>
      <c r="G32" s="53"/>
      <c r="H32" s="53"/>
      <c r="I32" s="53"/>
      <c r="J32" s="53"/>
      <c r="K32" s="53"/>
      <c r="L32" s="53"/>
      <c r="M32" s="53"/>
    </row>
    <row r="33" spans="1:14" x14ac:dyDescent="0.25">
      <c r="A33" s="54"/>
      <c r="B33" s="717" t="s">
        <v>1504</v>
      </c>
      <c r="C33" s="54"/>
      <c r="D33" s="54"/>
      <c r="E33" s="54"/>
      <c r="F33" s="53"/>
      <c r="G33" s="53"/>
      <c r="H33" s="53"/>
      <c r="I33" s="53"/>
      <c r="J33" s="53"/>
      <c r="K33" s="53"/>
      <c r="L33" s="53"/>
      <c r="M33" s="53"/>
    </row>
    <row r="34" spans="1:14" x14ac:dyDescent="0.25">
      <c r="A34" s="54"/>
      <c r="B34" s="54"/>
      <c r="C34" s="54"/>
      <c r="D34" s="54"/>
      <c r="E34" s="54"/>
      <c r="F34" s="53"/>
      <c r="G34" s="53"/>
      <c r="H34" s="53"/>
      <c r="I34" s="53"/>
      <c r="J34" s="53"/>
      <c r="K34" s="53"/>
      <c r="L34" s="53"/>
      <c r="M34" s="53"/>
    </row>
    <row r="35" spans="1:14" ht="18" customHeight="1" x14ac:dyDescent="0.25">
      <c r="A35" s="54"/>
      <c r="B35" s="385" t="s">
        <v>165</v>
      </c>
      <c r="C35" s="430" t="s">
        <v>525</v>
      </c>
      <c r="D35" s="430" t="s">
        <v>29</v>
      </c>
      <c r="E35" s="430" t="s">
        <v>166</v>
      </c>
      <c r="F35" s="406" t="s">
        <v>167</v>
      </c>
      <c r="G35" s="430" t="s">
        <v>169</v>
      </c>
      <c r="H35" s="430" t="s">
        <v>168</v>
      </c>
      <c r="I35" s="1641" t="s">
        <v>33</v>
      </c>
      <c r="J35" s="1641"/>
      <c r="K35" s="1641"/>
      <c r="L35" s="967"/>
      <c r="M35" s="53"/>
      <c r="N35" s="53"/>
    </row>
    <row r="36" spans="1:14" x14ac:dyDescent="0.25">
      <c r="A36" s="54"/>
      <c r="B36" s="1643" t="s">
        <v>992</v>
      </c>
      <c r="C36" s="206"/>
      <c r="D36" s="206"/>
      <c r="E36" s="206"/>
      <c r="F36" s="206" t="s">
        <v>129</v>
      </c>
      <c r="G36" s="432">
        <f t="shared" ref="G36:G55" si="0">IF(AND(B36&lt;&gt;"",F36="Yes"),E36*D36,0)</f>
        <v>0</v>
      </c>
      <c r="H36" s="432">
        <f t="shared" ref="H36:H55" si="1">IF(B36&lt;&gt;"",E36*D36,0)</f>
        <v>0</v>
      </c>
      <c r="I36" s="1640"/>
      <c r="J36" s="1640"/>
      <c r="K36" s="1640"/>
      <c r="L36" s="53"/>
      <c r="M36" s="53"/>
      <c r="N36" s="53"/>
    </row>
    <row r="37" spans="1:14" x14ac:dyDescent="0.25">
      <c r="A37" s="54"/>
      <c r="B37" s="1644"/>
      <c r="C37" s="206"/>
      <c r="D37" s="206"/>
      <c r="E37" s="184"/>
      <c r="F37" s="519" t="s">
        <v>129</v>
      </c>
      <c r="G37" s="67">
        <f t="shared" si="0"/>
        <v>0</v>
      </c>
      <c r="H37" s="67">
        <f t="shared" si="1"/>
        <v>0</v>
      </c>
      <c r="I37" s="1640"/>
      <c r="J37" s="1640"/>
      <c r="K37" s="1640"/>
      <c r="L37" s="53"/>
      <c r="M37" s="53"/>
      <c r="N37" s="53"/>
    </row>
    <row r="38" spans="1:14" x14ac:dyDescent="0.25">
      <c r="A38" s="54"/>
      <c r="B38" s="1637" t="s">
        <v>988</v>
      </c>
      <c r="C38" s="184"/>
      <c r="D38" s="184"/>
      <c r="E38" s="184"/>
      <c r="F38" s="519" t="s">
        <v>129</v>
      </c>
      <c r="G38" s="67">
        <f t="shared" si="0"/>
        <v>0</v>
      </c>
      <c r="H38" s="67">
        <f t="shared" si="1"/>
        <v>0</v>
      </c>
      <c r="I38" s="1640"/>
      <c r="J38" s="1640"/>
      <c r="K38" s="1640"/>
      <c r="L38" s="53"/>
      <c r="M38" s="53"/>
      <c r="N38" s="53"/>
    </row>
    <row r="39" spans="1:14" x14ac:dyDescent="0.25">
      <c r="A39" s="54"/>
      <c r="B39" s="1639"/>
      <c r="C39" s="184"/>
      <c r="D39" s="184"/>
      <c r="E39" s="184"/>
      <c r="F39" s="519" t="s">
        <v>129</v>
      </c>
      <c r="G39" s="67">
        <f t="shared" si="0"/>
        <v>0</v>
      </c>
      <c r="H39" s="241">
        <f t="shared" si="1"/>
        <v>0</v>
      </c>
      <c r="I39" s="1640"/>
      <c r="J39" s="1640"/>
      <c r="K39" s="1640"/>
      <c r="L39" s="53"/>
      <c r="M39" s="53"/>
      <c r="N39" s="53"/>
    </row>
    <row r="40" spans="1:14" x14ac:dyDescent="0.25">
      <c r="A40" s="54"/>
      <c r="B40" s="1637" t="s">
        <v>989</v>
      </c>
      <c r="C40" s="184"/>
      <c r="D40" s="184"/>
      <c r="E40" s="184"/>
      <c r="F40" s="519" t="s">
        <v>129</v>
      </c>
      <c r="G40" s="67">
        <f t="shared" si="0"/>
        <v>0</v>
      </c>
      <c r="H40" s="241">
        <f t="shared" si="1"/>
        <v>0</v>
      </c>
      <c r="I40" s="1640"/>
      <c r="J40" s="1640"/>
      <c r="K40" s="1640"/>
      <c r="L40" s="53"/>
      <c r="M40" s="53"/>
      <c r="N40" s="53"/>
    </row>
    <row r="41" spans="1:14" x14ac:dyDescent="0.25">
      <c r="A41" s="54"/>
      <c r="B41" s="1639"/>
      <c r="C41" s="184"/>
      <c r="D41" s="184"/>
      <c r="E41" s="184"/>
      <c r="F41" s="519" t="s">
        <v>129</v>
      </c>
      <c r="G41" s="67">
        <f t="shared" si="0"/>
        <v>0</v>
      </c>
      <c r="H41" s="241">
        <f t="shared" si="1"/>
        <v>0</v>
      </c>
      <c r="I41" s="1640"/>
      <c r="J41" s="1640"/>
      <c r="K41" s="1640"/>
      <c r="L41" s="53"/>
      <c r="M41" s="53"/>
      <c r="N41" s="53"/>
    </row>
    <row r="42" spans="1:14" x14ac:dyDescent="0.25">
      <c r="A42" s="54"/>
      <c r="B42" s="1637" t="s">
        <v>990</v>
      </c>
      <c r="C42" s="184"/>
      <c r="D42" s="184"/>
      <c r="E42" s="184"/>
      <c r="F42" s="519" t="s">
        <v>129</v>
      </c>
      <c r="G42" s="67">
        <f t="shared" si="0"/>
        <v>0</v>
      </c>
      <c r="H42" s="241">
        <f t="shared" si="1"/>
        <v>0</v>
      </c>
      <c r="I42" s="1640"/>
      <c r="J42" s="1640"/>
      <c r="K42" s="1640"/>
      <c r="L42" s="53"/>
      <c r="M42" s="53"/>
      <c r="N42" s="53"/>
    </row>
    <row r="43" spans="1:14" x14ac:dyDescent="0.25">
      <c r="A43" s="54"/>
      <c r="B43" s="1638"/>
      <c r="C43" s="984"/>
      <c r="D43" s="984"/>
      <c r="E43" s="984"/>
      <c r="F43" s="987" t="s">
        <v>129</v>
      </c>
      <c r="G43" s="67">
        <f t="shared" ref="G43" si="2">IF(AND(B43&lt;&gt;"",F43="Yes"),E43*D43,0)</f>
        <v>0</v>
      </c>
      <c r="H43" s="241">
        <f t="shared" ref="H43" si="3">IF(B43&lt;&gt;"",E43*D43,0)</f>
        <v>0</v>
      </c>
      <c r="I43" s="1640"/>
      <c r="J43" s="1640"/>
      <c r="K43" s="1640"/>
      <c r="L43" s="53"/>
      <c r="M43" s="53"/>
      <c r="N43" s="53"/>
    </row>
    <row r="44" spans="1:14" x14ac:dyDescent="0.25">
      <c r="A44" s="54"/>
      <c r="B44" s="1638"/>
      <c r="C44" s="951"/>
      <c r="D44" s="951"/>
      <c r="E44" s="951"/>
      <c r="F44" s="955" t="s">
        <v>129</v>
      </c>
      <c r="G44" s="67">
        <f t="shared" ref="G44" si="4">IF(AND(B44&lt;&gt;"",F44="Yes"),E44*D44,0)</f>
        <v>0</v>
      </c>
      <c r="H44" s="241">
        <f t="shared" ref="H44" si="5">IF(B44&lt;&gt;"",E44*D44,0)</f>
        <v>0</v>
      </c>
      <c r="I44" s="1640"/>
      <c r="J44" s="1640"/>
      <c r="K44" s="1640"/>
      <c r="L44" s="53"/>
      <c r="M44" s="53"/>
      <c r="N44" s="53"/>
    </row>
    <row r="45" spans="1:14" x14ac:dyDescent="0.25">
      <c r="A45" s="54"/>
      <c r="B45" s="1639"/>
      <c r="C45" s="184"/>
      <c r="D45" s="184"/>
      <c r="E45" s="184"/>
      <c r="F45" s="519" t="s">
        <v>129</v>
      </c>
      <c r="G45" s="67">
        <f t="shared" si="0"/>
        <v>0</v>
      </c>
      <c r="H45" s="241">
        <f t="shared" si="1"/>
        <v>0</v>
      </c>
      <c r="I45" s="1640"/>
      <c r="J45" s="1640"/>
      <c r="K45" s="1640"/>
      <c r="L45" s="53"/>
      <c r="M45" s="53"/>
      <c r="N45" s="53"/>
    </row>
    <row r="46" spans="1:14" x14ac:dyDescent="0.25">
      <c r="A46" s="54"/>
      <c r="B46" s="1637" t="s">
        <v>991</v>
      </c>
      <c r="C46" s="184"/>
      <c r="D46" s="184"/>
      <c r="E46" s="184"/>
      <c r="F46" s="519" t="s">
        <v>129</v>
      </c>
      <c r="G46" s="67">
        <f t="shared" si="0"/>
        <v>0</v>
      </c>
      <c r="H46" s="241">
        <f t="shared" si="1"/>
        <v>0</v>
      </c>
      <c r="I46" s="1640"/>
      <c r="J46" s="1640"/>
      <c r="K46" s="1640"/>
      <c r="L46" s="53"/>
      <c r="M46" s="53"/>
      <c r="N46" s="53"/>
    </row>
    <row r="47" spans="1:14" x14ac:dyDescent="0.25">
      <c r="A47" s="54"/>
      <c r="B47" s="1638"/>
      <c r="C47" s="951"/>
      <c r="D47" s="951"/>
      <c r="E47" s="951"/>
      <c r="F47" s="955" t="s">
        <v>129</v>
      </c>
      <c r="G47" s="67">
        <f t="shared" ref="G47" si="6">IF(AND(B47&lt;&gt;"",F47="Yes"),E47*D47,0)</f>
        <v>0</v>
      </c>
      <c r="H47" s="241">
        <f t="shared" ref="H47" si="7">IF(B47&lt;&gt;"",E47*D47,0)</f>
        <v>0</v>
      </c>
      <c r="I47" s="1640"/>
      <c r="J47" s="1640"/>
      <c r="K47" s="1640"/>
      <c r="L47" s="53"/>
      <c r="M47" s="53"/>
      <c r="N47" s="53"/>
    </row>
    <row r="48" spans="1:14" x14ac:dyDescent="0.25">
      <c r="A48" s="54"/>
      <c r="B48" s="1639"/>
      <c r="C48" s="184"/>
      <c r="D48" s="184"/>
      <c r="E48" s="184"/>
      <c r="F48" s="519" t="s">
        <v>129</v>
      </c>
      <c r="G48" s="67">
        <f t="shared" si="0"/>
        <v>0</v>
      </c>
      <c r="H48" s="241">
        <f t="shared" si="1"/>
        <v>0</v>
      </c>
      <c r="I48" s="1640"/>
      <c r="J48" s="1640"/>
      <c r="K48" s="1640"/>
      <c r="L48" s="53"/>
      <c r="M48" s="53"/>
      <c r="N48" s="53"/>
    </row>
    <row r="49" spans="1:14" x14ac:dyDescent="0.25">
      <c r="A49" s="54"/>
      <c r="B49" s="1637" t="s">
        <v>993</v>
      </c>
      <c r="C49" s="184"/>
      <c r="D49" s="184"/>
      <c r="E49" s="184"/>
      <c r="F49" s="519" t="s">
        <v>129</v>
      </c>
      <c r="G49" s="67">
        <f t="shared" si="0"/>
        <v>0</v>
      </c>
      <c r="H49" s="241">
        <f t="shared" si="1"/>
        <v>0</v>
      </c>
      <c r="I49" s="1640"/>
      <c r="J49" s="1640"/>
      <c r="K49" s="1640"/>
      <c r="L49" s="53"/>
      <c r="M49" s="53"/>
      <c r="N49" s="53"/>
    </row>
    <row r="50" spans="1:14" x14ac:dyDescent="0.25">
      <c r="A50" s="54"/>
      <c r="B50" s="1638"/>
      <c r="C50" s="951"/>
      <c r="D50" s="951"/>
      <c r="E50" s="951"/>
      <c r="F50" s="955" t="s">
        <v>129</v>
      </c>
      <c r="G50" s="67">
        <f t="shared" ref="G50" si="8">IF(AND(B50&lt;&gt;"",F50="Yes"),E50*D50,0)</f>
        <v>0</v>
      </c>
      <c r="H50" s="241">
        <f t="shared" ref="H50" si="9">IF(B50&lt;&gt;"",E50*D50,0)</f>
        <v>0</v>
      </c>
      <c r="I50" s="1640"/>
      <c r="J50" s="1640"/>
      <c r="K50" s="1640"/>
      <c r="L50" s="53"/>
      <c r="M50" s="53"/>
      <c r="N50" s="53"/>
    </row>
    <row r="51" spans="1:14" x14ac:dyDescent="0.25">
      <c r="A51" s="54"/>
      <c r="B51" s="1639"/>
      <c r="C51" s="184"/>
      <c r="D51" s="184"/>
      <c r="E51" s="184"/>
      <c r="F51" s="519" t="s">
        <v>129</v>
      </c>
      <c r="G51" s="67">
        <f t="shared" si="0"/>
        <v>0</v>
      </c>
      <c r="H51" s="241">
        <f t="shared" si="1"/>
        <v>0</v>
      </c>
      <c r="I51" s="1640"/>
      <c r="J51" s="1640"/>
      <c r="K51" s="1640"/>
      <c r="L51" s="53"/>
      <c r="M51" s="53"/>
      <c r="N51" s="53"/>
    </row>
    <row r="52" spans="1:14" x14ac:dyDescent="0.25">
      <c r="A52" s="54"/>
      <c r="B52" s="1637" t="s">
        <v>994</v>
      </c>
      <c r="C52" s="518"/>
      <c r="D52" s="518"/>
      <c r="E52" s="518"/>
      <c r="F52" s="519" t="s">
        <v>129</v>
      </c>
      <c r="G52" s="67">
        <f>IF(AND(B52&lt;&gt;"",F52="Yes"),E52*D52,0)</f>
        <v>0</v>
      </c>
      <c r="H52" s="241">
        <f>IF(B52&lt;&gt;"",E52*D52,0)</f>
        <v>0</v>
      </c>
      <c r="I52" s="1640"/>
      <c r="J52" s="1640"/>
      <c r="K52" s="1640"/>
      <c r="L52" s="53"/>
      <c r="M52" s="53"/>
      <c r="N52" s="53"/>
    </row>
    <row r="53" spans="1:14" x14ac:dyDescent="0.25">
      <c r="A53" s="54"/>
      <c r="B53" s="1639"/>
      <c r="C53" s="518"/>
      <c r="D53" s="518"/>
      <c r="E53" s="518"/>
      <c r="F53" s="519" t="s">
        <v>129</v>
      </c>
      <c r="G53" s="67">
        <f>IF(AND(B53&lt;&gt;"",F53="Yes"),E53*D53,0)</f>
        <v>0</v>
      </c>
      <c r="H53" s="241">
        <f>IF(B53&lt;&gt;"",E53*D53,0)</f>
        <v>0</v>
      </c>
      <c r="I53" s="1640"/>
      <c r="J53" s="1640"/>
      <c r="K53" s="1640"/>
      <c r="L53" s="53"/>
      <c r="M53" s="53"/>
      <c r="N53" s="53"/>
    </row>
    <row r="54" spans="1:14" x14ac:dyDescent="0.25">
      <c r="A54" s="54"/>
      <c r="B54" s="1637" t="s">
        <v>995</v>
      </c>
      <c r="C54" s="184"/>
      <c r="D54" s="184"/>
      <c r="E54" s="184"/>
      <c r="F54" s="519" t="s">
        <v>129</v>
      </c>
      <c r="G54" s="67">
        <f>IF(AND(B54&lt;&gt;"",F54="Yes"),E54*D54,0)</f>
        <v>0</v>
      </c>
      <c r="H54" s="241">
        <f>IF(B54&lt;&gt;"",E54*D54,0)</f>
        <v>0</v>
      </c>
      <c r="I54" s="1640"/>
      <c r="J54" s="1640"/>
      <c r="K54" s="1640"/>
      <c r="L54" s="53"/>
      <c r="M54" s="53"/>
      <c r="N54" s="53"/>
    </row>
    <row r="55" spans="1:14" x14ac:dyDescent="0.25">
      <c r="A55" s="54"/>
      <c r="B55" s="1639"/>
      <c r="C55" s="184"/>
      <c r="D55" s="184"/>
      <c r="E55" s="184"/>
      <c r="F55" s="519" t="s">
        <v>129</v>
      </c>
      <c r="G55" s="67">
        <f t="shared" si="0"/>
        <v>0</v>
      </c>
      <c r="H55" s="241">
        <f t="shared" si="1"/>
        <v>0</v>
      </c>
      <c r="I55" s="1640"/>
      <c r="J55" s="1640"/>
      <c r="K55" s="1640"/>
      <c r="L55" s="53"/>
      <c r="M55" s="53"/>
      <c r="N55" s="53"/>
    </row>
    <row r="56" spans="1:14" x14ac:dyDescent="0.25">
      <c r="A56" s="54"/>
      <c r="B56" s="54"/>
      <c r="C56" s="54"/>
      <c r="D56" s="54"/>
      <c r="E56" s="54"/>
      <c r="F56" s="12" t="s">
        <v>289</v>
      </c>
      <c r="G56" s="12">
        <f>SUM(G36:G55)</f>
        <v>0</v>
      </c>
      <c r="H56" s="12">
        <f>SUM(H36:H55)</f>
        <v>0</v>
      </c>
      <c r="I56" s="53"/>
      <c r="J56" s="53"/>
      <c r="K56" s="53"/>
      <c r="L56" s="53"/>
      <c r="M56" s="53"/>
    </row>
    <row r="57" spans="1:14" ht="17.25" customHeight="1" x14ac:dyDescent="0.25">
      <c r="A57" s="54"/>
      <c r="B57" s="54"/>
      <c r="C57" s="54"/>
      <c r="D57" s="54"/>
      <c r="E57" s="54"/>
      <c r="F57" s="53"/>
      <c r="G57" s="53"/>
      <c r="H57" s="53"/>
      <c r="I57" s="53"/>
      <c r="J57" s="53"/>
      <c r="K57" s="53"/>
      <c r="L57" s="53"/>
    </row>
    <row r="58" spans="1:14" ht="18" customHeight="1" x14ac:dyDescent="0.25">
      <c r="A58" s="54"/>
      <c r="B58" s="1494" t="s">
        <v>533</v>
      </c>
      <c r="C58" s="1494"/>
      <c r="D58" s="1494"/>
      <c r="E58" s="1494"/>
      <c r="F58" s="81">
        <f>IF(H56&lt;&gt;0,G56/H56,0)</f>
        <v>0</v>
      </c>
      <c r="G58" s="73" t="str">
        <f>IF(C68&lt;&gt;0,"",IF(F58&gt;=0.8,"→ 3 points can be achieved by submitting required documentation",IF(F58&gt;=0.6,"→ 2 points can be achieved by submitting required documentation",IF(F58&gt;=0.4,"→ 1 point can be achieved by submitting required documentation",""))))</f>
        <v/>
      </c>
      <c r="H58" s="53"/>
      <c r="I58" s="53"/>
      <c r="J58" s="53"/>
      <c r="K58" s="53"/>
      <c r="L58" s="53"/>
    </row>
    <row r="59" spans="1:14" ht="19.5" customHeight="1" x14ac:dyDescent="0.25">
      <c r="A59" s="54"/>
      <c r="B59" s="54"/>
      <c r="C59" s="54"/>
      <c r="D59" s="54"/>
      <c r="E59" s="54"/>
      <c r="F59" s="53"/>
      <c r="G59" s="53"/>
      <c r="H59" s="53"/>
      <c r="I59" s="53"/>
      <c r="J59" s="53"/>
      <c r="K59" s="53"/>
      <c r="L59" s="53"/>
    </row>
    <row r="60" spans="1:14" ht="18" customHeight="1" x14ac:dyDescent="0.25">
      <c r="A60" s="1432" t="s">
        <v>200</v>
      </c>
      <c r="B60" s="1432"/>
      <c r="C60" s="1432"/>
      <c r="D60" s="1432"/>
      <c r="E60" s="1432"/>
      <c r="F60" s="1432"/>
      <c r="G60" s="1432"/>
      <c r="H60" s="1432"/>
      <c r="I60" s="1432"/>
      <c r="J60" s="1432"/>
      <c r="K60" s="1432"/>
      <c r="L60" s="1432"/>
    </row>
    <row r="61" spans="1:14" ht="16.5" customHeight="1" x14ac:dyDescent="0.25">
      <c r="A61" s="53"/>
      <c r="B61" s="54"/>
      <c r="C61" s="54"/>
      <c r="D61" s="54"/>
      <c r="E61" s="53"/>
      <c r="F61" s="53"/>
      <c r="G61" s="53"/>
      <c r="H61" s="53"/>
      <c r="I61" s="53"/>
      <c r="J61" s="53"/>
      <c r="K61" s="53"/>
      <c r="L61" s="53"/>
    </row>
    <row r="62" spans="1:14" ht="18" customHeight="1" x14ac:dyDescent="0.25">
      <c r="A62" s="53"/>
      <c r="B62" s="1446" t="s">
        <v>2103</v>
      </c>
      <c r="C62" s="1447"/>
      <c r="D62" s="1447"/>
      <c r="E62" s="1447"/>
      <c r="F62" s="1447"/>
      <c r="G62" s="1045" t="s">
        <v>2101</v>
      </c>
      <c r="H62" s="1443" t="s">
        <v>2102</v>
      </c>
      <c r="I62" s="1444"/>
      <c r="J62" s="53"/>
      <c r="K62" s="53"/>
      <c r="L62" s="53"/>
    </row>
    <row r="63" spans="1:14" ht="27.75" customHeight="1" x14ac:dyDescent="0.25">
      <c r="A63" s="53"/>
      <c r="B63" s="1436" t="s">
        <v>1242</v>
      </c>
      <c r="C63" s="1437"/>
      <c r="D63" s="1437"/>
      <c r="E63" s="1437"/>
      <c r="F63" s="1438"/>
      <c r="G63" s="633" t="s">
        <v>129</v>
      </c>
      <c r="H63" s="1441"/>
      <c r="I63" s="1442"/>
      <c r="J63" s="53"/>
      <c r="K63" s="53"/>
      <c r="L63" s="53"/>
    </row>
    <row r="64" spans="1:14" ht="27.75" customHeight="1" x14ac:dyDescent="0.25">
      <c r="A64" s="53"/>
      <c r="B64" s="1436" t="s">
        <v>1243</v>
      </c>
      <c r="C64" s="1437"/>
      <c r="D64" s="1437"/>
      <c r="E64" s="1437"/>
      <c r="F64" s="1438"/>
      <c r="G64" s="633" t="s">
        <v>129</v>
      </c>
      <c r="H64" s="1441"/>
      <c r="I64" s="1442"/>
      <c r="J64" s="53"/>
      <c r="K64" s="53"/>
      <c r="L64" s="53"/>
    </row>
    <row r="65" spans="1:12" ht="21.75" customHeight="1" x14ac:dyDescent="0.25">
      <c r="A65" s="53"/>
      <c r="B65" s="53"/>
      <c r="C65" s="53"/>
      <c r="D65" s="53"/>
      <c r="E65" s="53"/>
      <c r="F65" s="53"/>
      <c r="G65" s="53"/>
      <c r="H65" s="53"/>
      <c r="I65" s="53"/>
      <c r="J65" s="53"/>
      <c r="K65" s="53"/>
      <c r="L65" s="53"/>
    </row>
    <row r="66" spans="1:12" ht="18" customHeight="1" x14ac:dyDescent="0.25">
      <c r="A66" s="1432" t="s">
        <v>25</v>
      </c>
      <c r="B66" s="1432"/>
      <c r="C66" s="1432"/>
      <c r="D66" s="1432"/>
      <c r="E66" s="1432"/>
      <c r="F66" s="1432"/>
      <c r="G66" s="1432"/>
      <c r="H66" s="1432"/>
      <c r="I66" s="1432"/>
      <c r="J66" s="1432"/>
      <c r="K66" s="1432"/>
      <c r="L66" s="1432"/>
    </row>
    <row r="67" spans="1:12" ht="17.25" customHeight="1" x14ac:dyDescent="0.25">
      <c r="A67" s="54"/>
      <c r="B67" s="54"/>
      <c r="C67" s="54"/>
      <c r="D67" s="54"/>
      <c r="E67" s="54"/>
      <c r="F67" s="53"/>
      <c r="G67" s="53"/>
      <c r="H67" s="53"/>
      <c r="I67" s="53"/>
      <c r="J67" s="53"/>
      <c r="K67" s="53"/>
      <c r="L67" s="53"/>
    </row>
    <row r="68" spans="1:12" ht="18" customHeight="1" x14ac:dyDescent="0.25">
      <c r="A68" s="54"/>
      <c r="B68" s="192" t="s">
        <v>56</v>
      </c>
      <c r="C68" s="1190">
        <f>IF(F58=0,0,IF(F58&gt;=0.8,3,IF(F58&gt;=0.6,2,IF(F58&gt;=0.4,1,0))))</f>
        <v>0</v>
      </c>
      <c r="D68" s="54"/>
      <c r="E68" s="54"/>
      <c r="F68" s="53"/>
      <c r="G68" s="53"/>
      <c r="H68" s="53"/>
      <c r="I68" s="53"/>
      <c r="J68" s="53"/>
      <c r="K68" s="53"/>
      <c r="L68" s="53"/>
    </row>
    <row r="69" spans="1:12" ht="18" customHeight="1" x14ac:dyDescent="0.25">
      <c r="A69" s="54"/>
      <c r="B69" s="192" t="s">
        <v>521</v>
      </c>
      <c r="C69" s="1190" t="str">
        <f>IF(AND(COUNTIF(G63:G64,"Submitted")=2,C68&gt;0),"Yes","No")</f>
        <v>No</v>
      </c>
      <c r="D69" s="54"/>
      <c r="E69" s="54"/>
      <c r="F69" s="53"/>
      <c r="G69" s="53"/>
      <c r="H69" s="53"/>
      <c r="I69" s="53"/>
      <c r="J69" s="53"/>
      <c r="K69" s="53"/>
      <c r="L69" s="53"/>
    </row>
    <row r="70" spans="1:12" x14ac:dyDescent="0.25">
      <c r="A70" s="54"/>
      <c r="B70" s="54"/>
      <c r="C70" s="54"/>
      <c r="D70" s="54"/>
      <c r="E70" s="54"/>
      <c r="F70" s="53"/>
      <c r="G70" s="53"/>
      <c r="H70" s="53"/>
      <c r="I70" s="53"/>
      <c r="J70" s="53"/>
      <c r="K70" s="53"/>
      <c r="L70" s="53"/>
    </row>
    <row r="71" spans="1:12" hidden="1" x14ac:dyDescent="0.25"/>
    <row r="72" spans="1:12" hidden="1" x14ac:dyDescent="0.25"/>
    <row r="73" spans="1:12" hidden="1" x14ac:dyDescent="0.25"/>
    <row r="74" spans="1:12" hidden="1" x14ac:dyDescent="0.25"/>
    <row r="75" spans="1:12" hidden="1" x14ac:dyDescent="0.25"/>
    <row r="76" spans="1:12" hidden="1" x14ac:dyDescent="0.25"/>
    <row r="77" spans="1:12" hidden="1" x14ac:dyDescent="0.25"/>
    <row r="78" spans="1:12" hidden="1" x14ac:dyDescent="0.25"/>
    <row r="79" spans="1:12" hidden="1" x14ac:dyDescent="0.25"/>
    <row r="80" spans="1:12" hidden="1" x14ac:dyDescent="0.25"/>
    <row r="81" hidden="1" x14ac:dyDescent="0.25"/>
    <row r="82" hidden="1" x14ac:dyDescent="0.25"/>
    <row r="83" hidden="1" x14ac:dyDescent="0.25"/>
    <row r="84" hidden="1" x14ac:dyDescent="0.25"/>
    <row r="85" hidden="1" x14ac:dyDescent="0.25"/>
  </sheetData>
  <sheetProtection algorithmName="SHA-512" hashValue="T8eOqZpj0pMTdMHN2QmVwTCziBfbZclsrwFvStfOABP64fVlyMPedAcXiVOPplIR9w8Ybm1Qmy4Ls5xxZsu7gQ==" saltValue="2BnDLur7SCsEjs2lt0IEnA==" spinCount="100000" sheet="1" objects="1" scenarios="1"/>
  <mergeCells count="46">
    <mergeCell ref="A66:L66"/>
    <mergeCell ref="H63:I63"/>
    <mergeCell ref="H64:I64"/>
    <mergeCell ref="A9:L9"/>
    <mergeCell ref="A60:L60"/>
    <mergeCell ref="B40:B41"/>
    <mergeCell ref="B42:B45"/>
    <mergeCell ref="B49:B51"/>
    <mergeCell ref="I44:K44"/>
    <mergeCell ref="I45:K45"/>
    <mergeCell ref="I46:K46"/>
    <mergeCell ref="I48:K48"/>
    <mergeCell ref="I49:K49"/>
    <mergeCell ref="I40:K40"/>
    <mergeCell ref="I41:K41"/>
    <mergeCell ref="I42:K42"/>
    <mergeCell ref="G2:I4"/>
    <mergeCell ref="I35:K35"/>
    <mergeCell ref="I36:K36"/>
    <mergeCell ref="I37:K37"/>
    <mergeCell ref="I38:K38"/>
    <mergeCell ref="A5:L7"/>
    <mergeCell ref="B11:E11"/>
    <mergeCell ref="B12:E12"/>
    <mergeCell ref="A31:L31"/>
    <mergeCell ref="A14:L14"/>
    <mergeCell ref="B18:I19"/>
    <mergeCell ref="B36:B37"/>
    <mergeCell ref="B38:B39"/>
    <mergeCell ref="I39:K39"/>
    <mergeCell ref="I43:K43"/>
    <mergeCell ref="I53:K53"/>
    <mergeCell ref="I54:K54"/>
    <mergeCell ref="I55:K55"/>
    <mergeCell ref="I47:K47"/>
    <mergeCell ref="B64:F64"/>
    <mergeCell ref="B63:F63"/>
    <mergeCell ref="B46:B48"/>
    <mergeCell ref="B58:E58"/>
    <mergeCell ref="I52:K52"/>
    <mergeCell ref="I51:K51"/>
    <mergeCell ref="B52:B53"/>
    <mergeCell ref="B54:B55"/>
    <mergeCell ref="I50:K50"/>
    <mergeCell ref="B62:F62"/>
    <mergeCell ref="H62:I62"/>
  </mergeCells>
  <conditionalFormatting sqref="F12:H12">
    <cfRule type="expression" dxfId="293" priority="9">
      <formula>OR(#REF!="No",#REF!="Không")</formula>
    </cfRule>
  </conditionalFormatting>
  <conditionalFormatting sqref="F12:H12">
    <cfRule type="expression" dxfId="292" priority="10">
      <formula>OR($D12="No",$D12="Không")</formula>
    </cfRule>
    <cfRule type="expression" dxfId="291" priority="11">
      <formula>OR(#REF!="No",#REF!="Không")</formula>
    </cfRule>
  </conditionalFormatting>
  <conditionalFormatting sqref="G12">
    <cfRule type="expression" dxfId="290" priority="6">
      <formula>OR(#REF!="No",#REF!="Không")</formula>
    </cfRule>
  </conditionalFormatting>
  <conditionalFormatting sqref="G12">
    <cfRule type="expression" dxfId="289" priority="4">
      <formula>OR($D12="No",$D12="Không")</formula>
    </cfRule>
    <cfRule type="expression" dxfId="288" priority="5">
      <formula>OR(#REF!="No",#REF!="Không")</formula>
    </cfRule>
  </conditionalFormatting>
  <conditionalFormatting sqref="H12">
    <cfRule type="expression" dxfId="287" priority="3">
      <formula>OR(#REF!="No",#REF!="Không")</formula>
    </cfRule>
  </conditionalFormatting>
  <conditionalFormatting sqref="H12">
    <cfRule type="expression" dxfId="286" priority="1">
      <formula>OR($D12="No",$D12="Không")</formula>
    </cfRule>
    <cfRule type="expression" dxfId="285" priority="2">
      <formula>OR(#REF!="No",#REF!="Không")</formula>
    </cfRule>
  </conditionalFormatting>
  <conditionalFormatting sqref="B12">
    <cfRule type="expression" dxfId="284" priority="17">
      <formula>$D$85="Option B"</formula>
    </cfRule>
  </conditionalFormatting>
  <conditionalFormatting sqref="B12">
    <cfRule type="expression" dxfId="283" priority="18">
      <formula>$D$85="No"</formula>
    </cfRule>
  </conditionalFormatting>
  <dataValidations disablePrompts="1" count="5">
    <dataValidation allowBlank="1" showInputMessage="1" showErrorMessage="1" prompt="Total rated-power of all the appliances and equipment [W]" sqref="H56 H35"/>
    <dataValidation allowBlank="1" showInputMessage="1" showErrorMessage="1" prompt="Total rated-power of all the energy efficient appliances and equipment [W]" sqref="G56 G35"/>
    <dataValidation type="list" allowBlank="1" showInputMessage="1" showErrorMessage="1" sqref="F36:F55">
      <formula1>"Select,Yes,No"</formula1>
    </dataValidation>
    <dataValidation type="list" allowBlank="1" showInputMessage="1" showErrorMessage="1" sqref="G63:G64">
      <formula1>"Select,Submitted,Not submitted"</formula1>
    </dataValidation>
    <dataValidation allowBlank="1" showInputMessage="1" showErrorMessage="1" prompt="Information on the energy efficiency label" sqref="I36:K55"/>
  </dataValidations>
  <hyperlinks>
    <hyperlink ref="J2" location="'E-1 Passive Design'!B3" tooltip="E-1" display="E-1"/>
    <hyperlink ref="J3" location="'E-2 Building Envelope'!B3" tooltip="E-2" display="E-2"/>
    <hyperlink ref="J4" location="'E-3 Home cooling'!B3" tooltip="E-3" display="E-3"/>
    <hyperlink ref="K3" location="'E-5 Water heating'!D3" tooltip="E-5" display="E-5"/>
    <hyperlink ref="K2" location="'E-4 Artificial Lighting'!D3" tooltip="E-4" display="E-4"/>
    <hyperlink ref="L3" location="'Energy BPC'!B3" tooltip="BPC" display="BPC"/>
    <hyperlink ref="K4" location="'E-7 Energy Monitor'!D3" tooltip="E-7" display="E-7"/>
  </hyperlinks>
  <pageMargins left="0.7" right="0.7" top="0.75" bottom="0.75" header="0.3" footer="0.3"/>
  <pageSetup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58B527"/>
  </sheetPr>
  <dimension ref="A1:M68"/>
  <sheetViews>
    <sheetView showRowColHeaders="0" workbookViewId="0">
      <pane ySplit="8" topLeftCell="A9" activePane="bottomLeft" state="frozen"/>
      <selection activeCell="E9" sqref="E9:F9"/>
      <selection pane="bottomLeft" activeCell="D3" sqref="D3"/>
    </sheetView>
  </sheetViews>
  <sheetFormatPr defaultColWidth="0" defaultRowHeight="15" zeroHeight="1" x14ac:dyDescent="0.25"/>
  <cols>
    <col min="1" max="1" width="4.140625" style="42" customWidth="1"/>
    <col min="2" max="5" width="20.7109375" style="42" customWidth="1"/>
    <col min="6" max="8" width="18.7109375" style="42" customWidth="1"/>
    <col min="9" max="11" width="8.7109375" style="42" customWidth="1"/>
    <col min="12" max="12" width="9.140625" style="42" hidden="1" customWidth="1"/>
    <col min="13" max="13" width="35.28515625" style="42" hidden="1" customWidth="1"/>
    <col min="14" max="16384" width="9.140625" style="42" hidden="1"/>
  </cols>
  <sheetData>
    <row r="1" spans="1:13" ht="25.5" customHeight="1" x14ac:dyDescent="0.25">
      <c r="A1" s="1413" t="s">
        <v>2408</v>
      </c>
      <c r="B1" s="1413"/>
      <c r="C1" s="1413"/>
      <c r="D1" s="1413"/>
      <c r="E1" s="1413"/>
      <c r="F1" s="1413"/>
      <c r="G1" s="1413"/>
      <c r="H1" s="1413"/>
      <c r="I1" s="1413"/>
      <c r="J1" s="1413"/>
      <c r="K1" s="1413"/>
      <c r="L1" s="96"/>
    </row>
    <row r="2" spans="1:13" ht="15" customHeight="1" x14ac:dyDescent="0.25">
      <c r="A2" s="54"/>
      <c r="B2" s="54"/>
      <c r="C2" s="54"/>
      <c r="D2" s="54"/>
      <c r="E2" s="54"/>
      <c r="F2" s="53"/>
      <c r="G2" s="1426" t="s">
        <v>544</v>
      </c>
      <c r="H2" s="1426"/>
      <c r="I2" s="239" t="s">
        <v>62</v>
      </c>
      <c r="J2" s="239" t="s">
        <v>73</v>
      </c>
      <c r="K2" s="239"/>
      <c r="L2" s="53"/>
    </row>
    <row r="3" spans="1:13" ht="15" customHeight="1" x14ac:dyDescent="0.25">
      <c r="A3" s="54"/>
      <c r="B3" s="54"/>
      <c r="C3" s="54"/>
      <c r="D3" s="54"/>
      <c r="E3" s="54"/>
      <c r="F3" s="53"/>
      <c r="G3" s="1426"/>
      <c r="H3" s="1426"/>
      <c r="I3" s="239" t="s">
        <v>66</v>
      </c>
      <c r="J3" s="239" t="s">
        <v>77</v>
      </c>
      <c r="K3" s="239" t="s">
        <v>79</v>
      </c>
      <c r="L3" s="53"/>
    </row>
    <row r="4" spans="1:13" ht="15" customHeight="1" x14ac:dyDescent="0.25">
      <c r="A4" s="54"/>
      <c r="B4" s="54"/>
      <c r="C4" s="54"/>
      <c r="D4" s="54"/>
      <c r="E4" s="54"/>
      <c r="F4" s="53"/>
      <c r="G4" s="1427"/>
      <c r="H4" s="1427"/>
      <c r="I4" s="239" t="s">
        <v>70</v>
      </c>
      <c r="J4" s="239" t="s">
        <v>102</v>
      </c>
      <c r="K4" s="240"/>
      <c r="L4" s="53"/>
    </row>
    <row r="5" spans="1:13" ht="17.25" customHeight="1" x14ac:dyDescent="0.25">
      <c r="A5" s="1417" t="s">
        <v>2203</v>
      </c>
      <c r="B5" s="1418"/>
      <c r="C5" s="1418"/>
      <c r="D5" s="1418"/>
      <c r="E5" s="1418"/>
      <c r="F5" s="1418"/>
      <c r="G5" s="1418"/>
      <c r="H5" s="1418"/>
      <c r="I5" s="1418"/>
      <c r="J5" s="1418"/>
      <c r="K5" s="1418"/>
      <c r="L5" s="193"/>
      <c r="M5" s="194"/>
    </row>
    <row r="6" spans="1:13" ht="17.25" customHeight="1" x14ac:dyDescent="0.25">
      <c r="A6" s="1420"/>
      <c r="B6" s="1421"/>
      <c r="C6" s="1421"/>
      <c r="D6" s="1421"/>
      <c r="E6" s="1421"/>
      <c r="F6" s="1421"/>
      <c r="G6" s="1421"/>
      <c r="H6" s="1421"/>
      <c r="I6" s="1421"/>
      <c r="J6" s="1421"/>
      <c r="K6" s="1421"/>
      <c r="L6" s="195"/>
      <c r="M6" s="196"/>
    </row>
    <row r="7" spans="1:13" ht="17.25" customHeight="1" x14ac:dyDescent="0.25">
      <c r="A7" s="1423"/>
      <c r="B7" s="1424"/>
      <c r="C7" s="1424"/>
      <c r="D7" s="1424"/>
      <c r="E7" s="1424"/>
      <c r="F7" s="1424"/>
      <c r="G7" s="1424"/>
      <c r="H7" s="1424"/>
      <c r="I7" s="1424"/>
      <c r="J7" s="1424"/>
      <c r="K7" s="1424"/>
      <c r="L7" s="197"/>
      <c r="M7" s="198"/>
    </row>
    <row r="8" spans="1:13" ht="12" customHeight="1" x14ac:dyDescent="0.25">
      <c r="A8" s="53"/>
      <c r="B8" s="54"/>
      <c r="C8" s="54"/>
      <c r="D8" s="54"/>
      <c r="E8" s="54"/>
      <c r="F8" s="53"/>
      <c r="G8" s="53"/>
      <c r="H8" s="53"/>
      <c r="I8" s="53"/>
      <c r="J8" s="53"/>
      <c r="K8" s="53"/>
      <c r="L8" s="53"/>
      <c r="M8" s="53"/>
    </row>
    <row r="9" spans="1:13" ht="18" customHeight="1" x14ac:dyDescent="0.25">
      <c r="A9" s="1432" t="s">
        <v>191</v>
      </c>
      <c r="B9" s="1432"/>
      <c r="C9" s="1432"/>
      <c r="D9" s="1432"/>
      <c r="E9" s="1432"/>
      <c r="F9" s="1432"/>
      <c r="G9" s="1432"/>
      <c r="H9" s="1432"/>
      <c r="I9" s="1432"/>
      <c r="J9" s="1432"/>
      <c r="K9" s="1432"/>
      <c r="L9" s="97"/>
    </row>
    <row r="10" spans="1:13" ht="16.5" customHeight="1" x14ac:dyDescent="0.25">
      <c r="A10" s="53"/>
      <c r="B10" s="54"/>
      <c r="C10" s="54"/>
      <c r="D10" s="54"/>
      <c r="E10" s="54"/>
      <c r="F10" s="53"/>
      <c r="G10" s="53"/>
      <c r="H10" s="53"/>
      <c r="I10" s="53"/>
      <c r="J10" s="53"/>
      <c r="K10" s="53"/>
      <c r="L10" s="53"/>
    </row>
    <row r="11" spans="1:13" ht="19.5" customHeight="1" x14ac:dyDescent="0.25">
      <c r="A11" s="53"/>
      <c r="B11" s="1428" t="s">
        <v>192</v>
      </c>
      <c r="C11" s="1429"/>
      <c r="D11" s="1429"/>
      <c r="E11" s="1429"/>
      <c r="F11" s="485" t="s">
        <v>157</v>
      </c>
      <c r="G11" s="485" t="s">
        <v>56</v>
      </c>
      <c r="H11" s="98" t="s">
        <v>521</v>
      </c>
      <c r="I11" s="53"/>
      <c r="J11" s="53"/>
      <c r="K11" s="53"/>
      <c r="L11" s="53"/>
    </row>
    <row r="12" spans="1:13" ht="21" customHeight="1" x14ac:dyDescent="0.25">
      <c r="A12" s="53"/>
      <c r="B12" s="1633" t="s">
        <v>24</v>
      </c>
      <c r="C12" s="1634"/>
      <c r="D12" s="1634"/>
      <c r="E12" s="1635"/>
      <c r="F12" s="59">
        <v>1</v>
      </c>
      <c r="G12" s="59">
        <f>C40</f>
        <v>0</v>
      </c>
      <c r="H12" s="59" t="str">
        <f>C41</f>
        <v>No</v>
      </c>
      <c r="I12" s="53"/>
      <c r="J12" s="53"/>
      <c r="K12" s="53"/>
      <c r="L12" s="53"/>
    </row>
    <row r="13" spans="1:13" ht="16.5" customHeight="1" x14ac:dyDescent="0.25">
      <c r="A13" s="54"/>
      <c r="B13" s="54"/>
      <c r="C13" s="54"/>
      <c r="D13" s="54"/>
      <c r="E13" s="54"/>
      <c r="F13" s="53"/>
      <c r="G13" s="53"/>
      <c r="H13" s="53"/>
      <c r="I13" s="53"/>
      <c r="J13" s="53"/>
      <c r="K13" s="53"/>
      <c r="L13" s="53"/>
    </row>
    <row r="14" spans="1:13" ht="18" customHeight="1" x14ac:dyDescent="0.25">
      <c r="A14" s="1432" t="s">
        <v>265</v>
      </c>
      <c r="B14" s="1432"/>
      <c r="C14" s="1432"/>
      <c r="D14" s="1432"/>
      <c r="E14" s="1432"/>
      <c r="F14" s="1432"/>
      <c r="G14" s="1432"/>
      <c r="H14" s="1432"/>
      <c r="I14" s="1432"/>
      <c r="J14" s="1432"/>
      <c r="K14" s="1432"/>
      <c r="L14" s="97"/>
    </row>
    <row r="15" spans="1:13" ht="12" customHeight="1" x14ac:dyDescent="0.25">
      <c r="A15" s="54"/>
      <c r="B15" s="54"/>
      <c r="C15" s="54"/>
      <c r="D15" s="54"/>
      <c r="E15" s="54"/>
      <c r="F15" s="54"/>
      <c r="G15" s="54"/>
      <c r="H15" s="54"/>
      <c r="I15" s="54"/>
      <c r="J15" s="54"/>
      <c r="K15" s="54"/>
      <c r="L15" s="54"/>
    </row>
    <row r="16" spans="1:13" ht="15" customHeight="1" x14ac:dyDescent="0.25">
      <c r="A16" s="54"/>
      <c r="B16" s="634" t="s">
        <v>281</v>
      </c>
      <c r="C16" s="54"/>
      <c r="D16" s="54"/>
      <c r="E16" s="54"/>
      <c r="F16" s="54"/>
      <c r="G16" s="54"/>
      <c r="H16" s="54"/>
      <c r="I16" s="54"/>
      <c r="J16" s="54"/>
      <c r="K16" s="54"/>
      <c r="L16" s="54"/>
    </row>
    <row r="17" spans="1:13" ht="15" customHeight="1" x14ac:dyDescent="0.25">
      <c r="A17" s="54"/>
      <c r="B17" s="634"/>
      <c r="C17" s="54"/>
      <c r="D17" s="54"/>
      <c r="E17" s="54"/>
      <c r="F17" s="54"/>
      <c r="G17" s="54"/>
      <c r="H17" s="54"/>
      <c r="I17" s="54"/>
      <c r="J17" s="54"/>
      <c r="K17" s="54"/>
      <c r="L17" s="54"/>
    </row>
    <row r="18" spans="1:13" ht="15" customHeight="1" x14ac:dyDescent="0.25">
      <c r="A18" s="54"/>
      <c r="B18" s="637" t="s">
        <v>1232</v>
      </c>
      <c r="C18" s="638"/>
      <c r="D18" s="638"/>
      <c r="E18" s="638"/>
      <c r="F18" s="638"/>
      <c r="G18" s="638"/>
      <c r="H18" s="639"/>
      <c r="I18" s="54"/>
      <c r="J18" s="54"/>
      <c r="K18" s="54"/>
      <c r="L18" s="54"/>
    </row>
    <row r="19" spans="1:13" ht="15" customHeight="1" x14ac:dyDescent="0.25">
      <c r="A19" s="54"/>
      <c r="B19" s="640" t="s">
        <v>1234</v>
      </c>
      <c r="C19" s="635"/>
      <c r="D19" s="635"/>
      <c r="E19" s="635"/>
      <c r="F19" s="635"/>
      <c r="G19" s="635"/>
      <c r="H19" s="641"/>
      <c r="I19" s="54"/>
      <c r="J19" s="54"/>
      <c r="K19" s="54"/>
      <c r="L19" s="54"/>
    </row>
    <row r="20" spans="1:13" ht="15" customHeight="1" x14ac:dyDescent="0.25">
      <c r="A20" s="54"/>
      <c r="B20" s="640" t="s">
        <v>1235</v>
      </c>
      <c r="C20" s="635"/>
      <c r="D20" s="635"/>
      <c r="E20" s="635"/>
      <c r="F20" s="635"/>
      <c r="G20" s="635"/>
      <c r="H20" s="641"/>
      <c r="I20" s="54"/>
      <c r="J20" s="54"/>
      <c r="K20" s="54"/>
      <c r="L20" s="54"/>
    </row>
    <row r="21" spans="1:13" ht="15" customHeight="1" x14ac:dyDescent="0.25">
      <c r="A21" s="54"/>
      <c r="B21" s="642" t="s">
        <v>1236</v>
      </c>
      <c r="C21" s="643"/>
      <c r="D21" s="643"/>
      <c r="E21" s="643"/>
      <c r="F21" s="643"/>
      <c r="G21" s="643"/>
      <c r="H21" s="644"/>
      <c r="I21" s="54"/>
      <c r="J21" s="54"/>
      <c r="K21" s="54"/>
      <c r="L21" s="54"/>
    </row>
    <row r="22" spans="1:13" ht="18.75" customHeight="1" x14ac:dyDescent="0.25">
      <c r="A22" s="54"/>
      <c r="B22" s="54"/>
      <c r="C22" s="54"/>
      <c r="D22" s="54"/>
      <c r="E22" s="54"/>
      <c r="F22" s="54"/>
      <c r="G22" s="54"/>
      <c r="H22" s="54"/>
      <c r="I22" s="54"/>
      <c r="J22" s="54"/>
      <c r="K22" s="54"/>
      <c r="L22" s="54"/>
    </row>
    <row r="23" spans="1:13" ht="15" customHeight="1" x14ac:dyDescent="0.25">
      <c r="A23" s="54"/>
      <c r="B23" s="1411" t="s">
        <v>1233</v>
      </c>
      <c r="C23" s="1645"/>
      <c r="D23" s="1645"/>
      <c r="E23" s="1645"/>
      <c r="F23" s="1645"/>
      <c r="G23" s="54"/>
      <c r="H23" s="54"/>
      <c r="I23" s="54"/>
      <c r="J23" s="54"/>
      <c r="K23" s="54"/>
      <c r="L23" s="54"/>
    </row>
    <row r="24" spans="1:13" ht="9" customHeight="1" x14ac:dyDescent="0.25">
      <c r="A24" s="54"/>
      <c r="B24" s="636"/>
      <c r="C24" s="622"/>
      <c r="D24" s="622"/>
      <c r="E24" s="622"/>
      <c r="F24" s="622"/>
      <c r="G24" s="54"/>
      <c r="H24" s="54"/>
      <c r="I24" s="54"/>
      <c r="J24" s="54"/>
      <c r="K24" s="54"/>
      <c r="L24" s="54"/>
    </row>
    <row r="25" spans="1:13" ht="18" customHeight="1" x14ac:dyDescent="0.25">
      <c r="A25" s="54"/>
      <c r="B25" s="1524" t="s">
        <v>1470</v>
      </c>
      <c r="C25" s="1524"/>
      <c r="D25" s="1524"/>
      <c r="E25" s="1524"/>
      <c r="F25" s="1524"/>
      <c r="G25" s="1189" t="s">
        <v>129</v>
      </c>
      <c r="H25" s="54"/>
      <c r="I25" s="54"/>
      <c r="J25" s="54"/>
      <c r="K25" s="54"/>
      <c r="L25" s="54"/>
      <c r="M25" s="64" t="b">
        <v>0</v>
      </c>
    </row>
    <row r="26" spans="1:13" ht="18" customHeight="1" x14ac:dyDescent="0.25">
      <c r="A26" s="54"/>
      <c r="B26" s="1524" t="s">
        <v>1469</v>
      </c>
      <c r="C26" s="1524"/>
      <c r="D26" s="1524"/>
      <c r="E26" s="1524"/>
      <c r="F26" s="1524"/>
      <c r="G26" s="1189" t="s">
        <v>129</v>
      </c>
      <c r="H26" s="54"/>
      <c r="I26" s="54"/>
      <c r="J26" s="54"/>
      <c r="K26" s="54"/>
      <c r="L26" s="54"/>
      <c r="M26" s="64" t="b">
        <v>0</v>
      </c>
    </row>
    <row r="27" spans="1:13" ht="18" customHeight="1" x14ac:dyDescent="0.25">
      <c r="A27" s="54"/>
      <c r="B27" s="1524" t="s">
        <v>1468</v>
      </c>
      <c r="C27" s="1524"/>
      <c r="D27" s="1524"/>
      <c r="E27" s="1524"/>
      <c r="F27" s="1524"/>
      <c r="G27" s="1189" t="s">
        <v>129</v>
      </c>
      <c r="H27" s="54"/>
      <c r="I27" s="54"/>
      <c r="J27" s="54"/>
      <c r="K27" s="54"/>
      <c r="L27" s="54"/>
      <c r="M27" s="64" t="b">
        <v>0</v>
      </c>
    </row>
    <row r="28" spans="1:13" ht="18" customHeight="1" x14ac:dyDescent="0.25">
      <c r="A28" s="54"/>
      <c r="B28" s="1524" t="s">
        <v>1471</v>
      </c>
      <c r="C28" s="1524"/>
      <c r="D28" s="1524"/>
      <c r="E28" s="1524"/>
      <c r="F28" s="1524"/>
      <c r="G28" s="1189" t="s">
        <v>129</v>
      </c>
      <c r="H28" s="54"/>
      <c r="I28" s="54"/>
      <c r="J28" s="54"/>
      <c r="K28" s="54"/>
      <c r="L28" s="54"/>
      <c r="M28" s="64" t="b">
        <v>0</v>
      </c>
    </row>
    <row r="29" spans="1:13" ht="15" customHeight="1" x14ac:dyDescent="0.25">
      <c r="A29" s="54"/>
      <c r="B29" s="54"/>
      <c r="C29" s="54"/>
      <c r="D29" s="54"/>
      <c r="E29" s="54"/>
      <c r="F29" s="54"/>
      <c r="G29" s="54"/>
      <c r="H29" s="54"/>
      <c r="I29" s="54"/>
      <c r="J29" s="54"/>
      <c r="K29" s="54"/>
      <c r="L29" s="54"/>
    </row>
    <row r="30" spans="1:13" ht="18" customHeight="1" x14ac:dyDescent="0.25">
      <c r="A30" s="54"/>
      <c r="B30" s="1494" t="s">
        <v>282</v>
      </c>
      <c r="C30" s="1494"/>
      <c r="D30" s="219" t="str">
        <f>IF(COUNTIF(G25:G28,"Yes")=4,"Yes","No")</f>
        <v>No</v>
      </c>
      <c r="E30" s="54"/>
      <c r="F30" s="54"/>
      <c r="G30" s="54"/>
      <c r="H30" s="54"/>
      <c r="I30" s="54"/>
      <c r="J30" s="54"/>
      <c r="K30" s="54"/>
      <c r="L30" s="54"/>
    </row>
    <row r="31" spans="1:13" ht="21" customHeight="1" x14ac:dyDescent="0.25">
      <c r="A31" s="54"/>
      <c r="B31" s="54"/>
      <c r="C31" s="54"/>
      <c r="D31" s="54"/>
      <c r="E31" s="54"/>
      <c r="F31" s="54"/>
      <c r="G31" s="54"/>
      <c r="H31" s="54"/>
      <c r="I31" s="54"/>
      <c r="J31" s="54"/>
      <c r="K31" s="54"/>
      <c r="L31" s="54"/>
    </row>
    <row r="32" spans="1:13" ht="18.75" customHeight="1" x14ac:dyDescent="0.25">
      <c r="A32" s="1432" t="s">
        <v>200</v>
      </c>
      <c r="B32" s="1432"/>
      <c r="C32" s="1432"/>
      <c r="D32" s="1432"/>
      <c r="E32" s="1432"/>
      <c r="F32" s="1432"/>
      <c r="G32" s="1432"/>
      <c r="H32" s="1432"/>
      <c r="I32" s="1432"/>
      <c r="J32" s="1432"/>
      <c r="K32" s="1432"/>
      <c r="L32" s="97"/>
    </row>
    <row r="33" spans="1:12" ht="16.5" customHeight="1" x14ac:dyDescent="0.25">
      <c r="A33" s="53"/>
      <c r="B33" s="54"/>
      <c r="C33" s="54"/>
      <c r="D33" s="54"/>
      <c r="E33" s="53"/>
      <c r="F33" s="53"/>
      <c r="G33" s="53"/>
      <c r="H33" s="53"/>
      <c r="I33" s="53"/>
      <c r="J33" s="53"/>
      <c r="K33" s="53"/>
      <c r="L33" s="53"/>
    </row>
    <row r="34" spans="1:12" ht="18" customHeight="1" x14ac:dyDescent="0.25">
      <c r="A34" s="53"/>
      <c r="B34" s="1446" t="s">
        <v>2103</v>
      </c>
      <c r="C34" s="1447"/>
      <c r="D34" s="1447"/>
      <c r="E34" s="1447"/>
      <c r="F34" s="1447"/>
      <c r="G34" s="1045" t="s">
        <v>2101</v>
      </c>
      <c r="H34" s="1443" t="s">
        <v>2102</v>
      </c>
      <c r="I34" s="1444"/>
      <c r="J34" s="53"/>
      <c r="K34" s="53"/>
      <c r="L34" s="53"/>
    </row>
    <row r="35" spans="1:12" ht="24" customHeight="1" x14ac:dyDescent="0.25">
      <c r="A35" s="53"/>
      <c r="B35" s="1436" t="s">
        <v>1474</v>
      </c>
      <c r="C35" s="1437"/>
      <c r="D35" s="1437"/>
      <c r="E35" s="1437"/>
      <c r="F35" s="1438"/>
      <c r="G35" s="518" t="s">
        <v>129</v>
      </c>
      <c r="H35" s="1441"/>
      <c r="I35" s="1442"/>
      <c r="J35" s="53"/>
      <c r="K35" s="53"/>
      <c r="L35" s="53"/>
    </row>
    <row r="36" spans="1:12" ht="30" customHeight="1" x14ac:dyDescent="0.25">
      <c r="A36" s="53"/>
      <c r="B36" s="1436" t="s">
        <v>1241</v>
      </c>
      <c r="C36" s="1437"/>
      <c r="D36" s="1437"/>
      <c r="E36" s="1437"/>
      <c r="F36" s="1438"/>
      <c r="G36" s="633" t="s">
        <v>129</v>
      </c>
      <c r="H36" s="1441"/>
      <c r="I36" s="1442"/>
      <c r="J36" s="53"/>
      <c r="K36" s="53"/>
      <c r="L36" s="53"/>
    </row>
    <row r="37" spans="1:12" ht="19.5" customHeight="1" x14ac:dyDescent="0.25">
      <c r="A37" s="53"/>
      <c r="B37" s="54"/>
      <c r="C37" s="54"/>
      <c r="D37" s="54"/>
      <c r="E37" s="53"/>
      <c r="F37" s="53"/>
      <c r="G37" s="53"/>
      <c r="H37" s="53"/>
      <c r="I37" s="53"/>
      <c r="J37" s="53"/>
      <c r="K37" s="53"/>
      <c r="L37" s="53"/>
    </row>
    <row r="38" spans="1:12" ht="18" customHeight="1" x14ac:dyDescent="0.25">
      <c r="A38" s="1432" t="s">
        <v>25</v>
      </c>
      <c r="B38" s="1432"/>
      <c r="C38" s="1432"/>
      <c r="D38" s="1432"/>
      <c r="E38" s="1432"/>
      <c r="F38" s="1432"/>
      <c r="G38" s="1432"/>
      <c r="H38" s="1432"/>
      <c r="I38" s="1432"/>
      <c r="J38" s="1432"/>
      <c r="K38" s="1432"/>
      <c r="L38" s="97"/>
    </row>
    <row r="39" spans="1:12" ht="15" customHeight="1" x14ac:dyDescent="0.25">
      <c r="A39" s="54"/>
      <c r="B39" s="54"/>
      <c r="C39" s="54"/>
      <c r="D39" s="54"/>
      <c r="E39" s="54"/>
      <c r="F39" s="54"/>
      <c r="G39" s="54"/>
      <c r="H39" s="54"/>
      <c r="I39" s="54"/>
      <c r="J39" s="54"/>
      <c r="K39" s="54"/>
      <c r="L39" s="54"/>
    </row>
    <row r="40" spans="1:12" ht="18" customHeight="1" x14ac:dyDescent="0.25">
      <c r="A40" s="54"/>
      <c r="B40" s="192" t="s">
        <v>56</v>
      </c>
      <c r="C40" s="1190">
        <f>IF(D30="No",0,1)</f>
        <v>0</v>
      </c>
      <c r="D40" s="54"/>
      <c r="E40" s="54"/>
      <c r="F40" s="54"/>
      <c r="G40" s="54"/>
      <c r="H40" s="54"/>
      <c r="I40" s="54"/>
      <c r="J40" s="54"/>
      <c r="K40" s="54"/>
      <c r="L40" s="54"/>
    </row>
    <row r="41" spans="1:12" ht="18" customHeight="1" x14ac:dyDescent="0.25">
      <c r="A41" s="54"/>
      <c r="B41" s="192" t="s">
        <v>521</v>
      </c>
      <c r="C41" s="1190" t="str">
        <f>IF(AND(COUNTIF(G35:G36,"Submitted")=2,C40&gt;0),"Yes","No")</f>
        <v>No</v>
      </c>
      <c r="D41" s="54"/>
      <c r="E41" s="54"/>
      <c r="F41" s="54"/>
      <c r="G41" s="54"/>
      <c r="H41" s="54"/>
      <c r="I41" s="54"/>
      <c r="J41" s="54"/>
      <c r="K41" s="54"/>
      <c r="L41" s="54"/>
    </row>
    <row r="42" spans="1:12" ht="15" customHeight="1" x14ac:dyDescent="0.25">
      <c r="A42" s="54"/>
      <c r="B42" s="54"/>
      <c r="C42" s="54"/>
      <c r="D42" s="54"/>
      <c r="E42" s="54"/>
      <c r="F42" s="54"/>
      <c r="G42" s="54"/>
      <c r="H42" s="54"/>
      <c r="I42" s="54"/>
      <c r="J42" s="54"/>
      <c r="K42" s="54"/>
      <c r="L42" s="54"/>
    </row>
    <row r="43" spans="1:12" ht="15" hidden="1" customHeight="1" x14ac:dyDescent="0.25">
      <c r="A43" s="54"/>
      <c r="B43" s="54"/>
      <c r="C43" s="54"/>
      <c r="D43" s="54"/>
      <c r="E43" s="54"/>
      <c r="F43" s="54"/>
      <c r="G43" s="54"/>
      <c r="H43" s="54"/>
      <c r="I43" s="54"/>
      <c r="J43" s="54"/>
      <c r="K43" s="54"/>
      <c r="L43" s="54"/>
    </row>
    <row r="44" spans="1:12" hidden="1" x14ac:dyDescent="0.25"/>
    <row r="45" spans="1:12" hidden="1" x14ac:dyDescent="0.25"/>
    <row r="46" spans="1:12" hidden="1" x14ac:dyDescent="0.25"/>
    <row r="47" spans="1:12" hidden="1" x14ac:dyDescent="0.25"/>
    <row r="48" spans="1:12"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sheetData>
  <sheetProtection algorithmName="SHA-512" hashValue="uRlYWqVOfxpSP1iPolCjaFUsc4gxawdsvKg7zYZrtakVzLOwsoU48vxF4J7IqI7NH1fb0uNpDe6ckshOe03FBQ==" saltValue="oO7kSJSn0Ewzseg/lMIUSg==" spinCount="100000" sheet="1" objects="1" scenarios="1"/>
  <mergeCells count="21">
    <mergeCell ref="H36:I36"/>
    <mergeCell ref="A38:K38"/>
    <mergeCell ref="B11:E11"/>
    <mergeCell ref="B12:E12"/>
    <mergeCell ref="A5:K7"/>
    <mergeCell ref="B25:F25"/>
    <mergeCell ref="B26:F26"/>
    <mergeCell ref="B27:F27"/>
    <mergeCell ref="B35:F35"/>
    <mergeCell ref="B36:F36"/>
    <mergeCell ref="B30:C30"/>
    <mergeCell ref="B23:F23"/>
    <mergeCell ref="B28:F28"/>
    <mergeCell ref="B34:F34"/>
    <mergeCell ref="H34:I34"/>
    <mergeCell ref="H35:I35"/>
    <mergeCell ref="G2:H4"/>
    <mergeCell ref="A1:K1"/>
    <mergeCell ref="A9:K9"/>
    <mergeCell ref="A14:K14"/>
    <mergeCell ref="A32:K32"/>
  </mergeCells>
  <conditionalFormatting sqref="F12:G12">
    <cfRule type="expression" dxfId="282" priority="8">
      <formula>OR(#REF!="No",#REF!="Không")</formula>
    </cfRule>
  </conditionalFormatting>
  <conditionalFormatting sqref="F12:G12">
    <cfRule type="expression" dxfId="281" priority="9">
      <formula>OR($D12="No",$D12="Không")</formula>
    </cfRule>
    <cfRule type="expression" dxfId="280" priority="10">
      <formula>OR(#REF!="No",#REF!="Không")</formula>
    </cfRule>
  </conditionalFormatting>
  <conditionalFormatting sqref="B12">
    <cfRule type="expression" dxfId="279" priority="400">
      <formula>#REF!="Option B"</formula>
    </cfRule>
  </conditionalFormatting>
  <conditionalFormatting sqref="B12">
    <cfRule type="expression" dxfId="278" priority="401">
      <formula>#REF!="No"</formula>
    </cfRule>
  </conditionalFormatting>
  <conditionalFormatting sqref="H12">
    <cfRule type="expression" dxfId="277" priority="3">
      <formula>OR(#REF!="No",#REF!="Không")</formula>
    </cfRule>
  </conditionalFormatting>
  <conditionalFormatting sqref="H12">
    <cfRule type="expression" dxfId="276" priority="1">
      <formula>OR($D12="No",$D12="Không")</formula>
    </cfRule>
    <cfRule type="expression" dxfId="275" priority="2">
      <formula>OR(#REF!="No",#REF!="Không")</formula>
    </cfRule>
  </conditionalFormatting>
  <dataValidations count="2">
    <dataValidation type="list" allowBlank="1" showInputMessage="1" showErrorMessage="1" sqref="G35:G36">
      <formula1>"Select,Submitted,Not submitted"</formula1>
    </dataValidation>
    <dataValidation type="list" allowBlank="1" showInputMessage="1" showErrorMessage="1" sqref="G25:G28">
      <formula1>"Select,Yes,No"</formula1>
    </dataValidation>
  </dataValidations>
  <hyperlinks>
    <hyperlink ref="I2" location="'E-1 Passive Design'!B3" tooltip="E-1" display="E-1"/>
    <hyperlink ref="I3" location="'E-2 Building Envelope'!B3" tooltip="E-2" display="E-2"/>
    <hyperlink ref="I4" location="'E-3 Home cooling'!B3" tooltip="E-3" display="E-3"/>
    <hyperlink ref="J3" location="'E-5 Water heating'!D3" tooltip="E-5" display="E-5"/>
    <hyperlink ref="J2" location="'E-4 Artificial Lighting'!D3" tooltip="E-4" display="E-4"/>
    <hyperlink ref="K3" location="'Energy BPC'!B3" tooltip="BPC" display="BPC"/>
    <hyperlink ref="J4" location="'E-7 Energy Monitor'!D3" tooltip="E-7" display="E-7"/>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P204"/>
  <sheetViews>
    <sheetView showRowColHeaders="0" workbookViewId="0">
      <pane ySplit="1" topLeftCell="A2" activePane="bottomLeft" state="frozen"/>
      <selection pane="bottomLeft" activeCell="L86" sqref="L86"/>
    </sheetView>
  </sheetViews>
  <sheetFormatPr defaultColWidth="0" defaultRowHeight="15" customHeight="1" zeroHeight="1" x14ac:dyDescent="0.25"/>
  <cols>
    <col min="1" max="1" width="3.7109375" customWidth="1"/>
    <col min="2" max="2" width="9.7109375" customWidth="1"/>
    <col min="3" max="3" width="9.140625" customWidth="1"/>
    <col min="4" max="4" width="10" customWidth="1"/>
    <col min="5" max="10" width="9.140625" customWidth="1"/>
    <col min="11" max="11" width="11.7109375" customWidth="1"/>
    <col min="12" max="15" width="9.140625" customWidth="1"/>
    <col min="16" max="16" width="9.140625" hidden="1" customWidth="1"/>
    <col min="17" max="16384" width="9.140625" hidden="1"/>
  </cols>
  <sheetData>
    <row r="1" spans="1:16" ht="30" customHeight="1" x14ac:dyDescent="0.25">
      <c r="A1" s="1207" t="s">
        <v>2046</v>
      </c>
      <c r="B1" s="1207"/>
      <c r="C1" s="1207"/>
      <c r="D1" s="1207"/>
      <c r="E1" s="1207"/>
      <c r="F1" s="1207"/>
      <c r="G1" s="1207"/>
      <c r="H1" s="1207"/>
      <c r="I1" s="1207"/>
      <c r="J1" s="1207"/>
      <c r="K1" s="1207"/>
      <c r="L1" s="1207"/>
      <c r="M1" s="1207"/>
      <c r="N1" s="1207"/>
      <c r="O1" s="1207"/>
      <c r="P1" s="44"/>
    </row>
    <row r="2" spans="1:16" ht="15" customHeight="1" x14ac:dyDescent="0.25">
      <c r="A2" s="18"/>
      <c r="B2" s="18"/>
      <c r="C2" s="18"/>
      <c r="D2" s="18"/>
      <c r="E2" s="18"/>
      <c r="F2" s="18"/>
      <c r="G2" s="18"/>
      <c r="H2" s="18"/>
      <c r="I2" s="18"/>
      <c r="J2" s="18"/>
      <c r="K2" s="18"/>
      <c r="L2" s="14"/>
      <c r="M2" s="14"/>
      <c r="N2" s="14"/>
      <c r="O2" s="14"/>
      <c r="P2" s="13"/>
    </row>
    <row r="3" spans="1:16" ht="18" customHeight="1" x14ac:dyDescent="0.25">
      <c r="A3" s="1204" t="s">
        <v>2047</v>
      </c>
      <c r="B3" s="1204"/>
      <c r="C3" s="1204"/>
      <c r="D3" s="1204"/>
      <c r="E3" s="18"/>
      <c r="F3" s="18"/>
      <c r="G3" s="18"/>
      <c r="H3" s="18"/>
      <c r="I3" s="18"/>
      <c r="J3" s="18"/>
      <c r="K3" s="18"/>
      <c r="L3" s="14"/>
      <c r="M3" s="14"/>
      <c r="N3" s="14"/>
      <c r="O3" s="14"/>
      <c r="P3" s="13"/>
    </row>
    <row r="4" spans="1:16" ht="15" customHeight="1" x14ac:dyDescent="0.25">
      <c r="A4" s="18"/>
      <c r="B4" s="18"/>
      <c r="C4" s="18"/>
      <c r="D4" s="18"/>
      <c r="E4" s="18"/>
      <c r="F4" s="18"/>
      <c r="G4" s="18"/>
      <c r="H4" s="18"/>
      <c r="I4" s="18"/>
      <c r="J4" s="18"/>
      <c r="K4" s="18"/>
      <c r="L4" s="14"/>
      <c r="M4" s="14"/>
      <c r="N4" s="14"/>
      <c r="O4" s="14"/>
      <c r="P4" s="13"/>
    </row>
    <row r="5" spans="1:16" ht="59.25" customHeight="1" x14ac:dyDescent="0.25">
      <c r="A5" s="18"/>
      <c r="B5" s="1203" t="s">
        <v>2099</v>
      </c>
      <c r="C5" s="1203"/>
      <c r="D5" s="1203"/>
      <c r="E5" s="1203"/>
      <c r="F5" s="1203"/>
      <c r="G5" s="1203"/>
      <c r="H5" s="1203"/>
      <c r="I5" s="1203"/>
      <c r="J5" s="1203"/>
      <c r="K5" s="1203"/>
      <c r="L5" s="1203"/>
      <c r="M5" s="1203"/>
      <c r="N5" s="1203"/>
      <c r="O5" s="14"/>
      <c r="P5" s="13"/>
    </row>
    <row r="6" spans="1:16" ht="31.5" customHeight="1" x14ac:dyDescent="0.25">
      <c r="A6" s="18"/>
      <c r="B6" s="1203" t="s">
        <v>2048</v>
      </c>
      <c r="C6" s="1203"/>
      <c r="D6" s="1203"/>
      <c r="E6" s="1203"/>
      <c r="F6" s="1203"/>
      <c r="G6" s="1203"/>
      <c r="H6" s="1203"/>
      <c r="I6" s="1203"/>
      <c r="J6" s="1203"/>
      <c r="K6" s="1203"/>
      <c r="L6" s="1203"/>
      <c r="M6" s="1203"/>
      <c r="N6" s="1203"/>
      <c r="O6" s="14"/>
      <c r="P6" s="13"/>
    </row>
    <row r="7" spans="1:16" ht="31.5" customHeight="1" x14ac:dyDescent="0.25">
      <c r="A7" s="18"/>
      <c r="B7" s="1203" t="s">
        <v>2050</v>
      </c>
      <c r="C7" s="1203"/>
      <c r="D7" s="1203"/>
      <c r="E7" s="1203"/>
      <c r="F7" s="1203"/>
      <c r="G7" s="1203"/>
      <c r="H7" s="1203"/>
      <c r="I7" s="1203"/>
      <c r="J7" s="1203"/>
      <c r="K7" s="1203"/>
      <c r="L7" s="1203"/>
      <c r="M7" s="1203"/>
      <c r="N7" s="1203"/>
      <c r="O7" s="14"/>
      <c r="P7" s="13"/>
    </row>
    <row r="8" spans="1:16" ht="31.5" customHeight="1" x14ac:dyDescent="0.25">
      <c r="A8" s="18"/>
      <c r="B8" s="1203" t="s">
        <v>2051</v>
      </c>
      <c r="C8" s="1203"/>
      <c r="D8" s="1203"/>
      <c r="E8" s="1203"/>
      <c r="F8" s="1203"/>
      <c r="G8" s="1203"/>
      <c r="H8" s="1203"/>
      <c r="I8" s="1203"/>
      <c r="J8" s="1203"/>
      <c r="K8" s="1203"/>
      <c r="L8" s="1203"/>
      <c r="M8" s="1203"/>
      <c r="N8" s="1203"/>
      <c r="O8" s="14"/>
      <c r="P8" s="13"/>
    </row>
    <row r="9" spans="1:16" ht="18" customHeight="1" x14ac:dyDescent="0.25">
      <c r="A9" s="18"/>
      <c r="B9" s="1203" t="s">
        <v>2052</v>
      </c>
      <c r="C9" s="1203"/>
      <c r="D9" s="1203"/>
      <c r="E9" s="1203"/>
      <c r="F9" s="1203"/>
      <c r="G9" s="1203"/>
      <c r="H9" s="1203"/>
      <c r="I9" s="1203"/>
      <c r="J9" s="1203"/>
      <c r="K9" s="1203"/>
      <c r="L9" s="1203"/>
      <c r="M9" s="1203"/>
      <c r="N9" s="1203"/>
      <c r="O9" s="14"/>
      <c r="P9" s="13"/>
    </row>
    <row r="10" spans="1:16" ht="15" customHeight="1" x14ac:dyDescent="0.25">
      <c r="A10" s="18"/>
      <c r="B10" s="18"/>
      <c r="C10" s="18"/>
      <c r="D10" s="18"/>
      <c r="E10" s="18"/>
      <c r="F10" s="18"/>
      <c r="G10" s="18"/>
      <c r="H10" s="18"/>
      <c r="I10" s="18"/>
      <c r="J10" s="18"/>
      <c r="K10" s="18"/>
      <c r="L10" s="14"/>
      <c r="M10" s="14"/>
      <c r="N10" s="14"/>
      <c r="O10" s="14"/>
      <c r="P10" s="13"/>
    </row>
    <row r="11" spans="1:16" ht="18" customHeight="1" x14ac:dyDescent="0.25">
      <c r="A11" s="1204" t="s">
        <v>2049</v>
      </c>
      <c r="B11" s="1204"/>
      <c r="C11" s="1204"/>
      <c r="D11" s="1204"/>
      <c r="E11" s="18"/>
      <c r="F11" s="18"/>
      <c r="G11" s="18"/>
      <c r="H11" s="18"/>
      <c r="I11" s="18"/>
      <c r="J11" s="18"/>
      <c r="K11" s="18"/>
      <c r="L11" s="14"/>
      <c r="M11" s="14"/>
      <c r="N11" s="14"/>
      <c r="O11" s="14"/>
      <c r="P11" s="13"/>
    </row>
    <row r="12" spans="1:16" x14ac:dyDescent="0.25">
      <c r="A12" s="18"/>
      <c r="B12" s="18"/>
      <c r="C12" s="18"/>
      <c r="D12" s="18"/>
      <c r="E12" s="18"/>
      <c r="F12" s="18"/>
      <c r="G12" s="18"/>
      <c r="H12" s="18"/>
      <c r="I12" s="18"/>
      <c r="J12" s="18"/>
      <c r="K12" s="18"/>
      <c r="L12" s="14"/>
      <c r="M12" s="14"/>
      <c r="N12" s="14"/>
      <c r="O12" s="14"/>
      <c r="P12" s="13"/>
    </row>
    <row r="13" spans="1:16" x14ac:dyDescent="0.25">
      <c r="A13" s="18"/>
      <c r="B13" s="1040" t="s">
        <v>2053</v>
      </c>
      <c r="C13" s="18"/>
      <c r="D13" s="18"/>
      <c r="E13" s="18"/>
      <c r="F13" s="18"/>
      <c r="G13" s="18"/>
      <c r="H13" s="18"/>
      <c r="I13" s="18"/>
      <c r="J13" s="18"/>
      <c r="K13" s="18"/>
      <c r="L13" s="14"/>
      <c r="M13" s="14"/>
      <c r="N13" s="14"/>
      <c r="O13" s="14"/>
      <c r="P13" s="13"/>
    </row>
    <row r="14" spans="1:16" x14ac:dyDescent="0.25">
      <c r="A14" s="18"/>
      <c r="B14" s="1041" t="s">
        <v>2054</v>
      </c>
      <c r="C14" s="18"/>
      <c r="D14" s="18"/>
      <c r="E14" s="18"/>
      <c r="F14" s="18"/>
      <c r="G14" s="18"/>
      <c r="H14" s="18"/>
      <c r="I14" s="18"/>
      <c r="J14" s="18"/>
      <c r="K14" s="18"/>
      <c r="L14" s="14"/>
      <c r="M14" s="14"/>
      <c r="N14" s="14"/>
      <c r="O14" s="14"/>
      <c r="P14" s="13"/>
    </row>
    <row r="15" spans="1:16" x14ac:dyDescent="0.25">
      <c r="A15" s="18"/>
      <c r="B15" s="18"/>
      <c r="C15" s="18"/>
      <c r="D15" s="18"/>
      <c r="E15" s="18"/>
      <c r="F15" s="18"/>
      <c r="G15" s="18"/>
      <c r="H15" s="18"/>
      <c r="I15" s="18"/>
      <c r="J15" s="18"/>
      <c r="K15" s="18"/>
      <c r="L15" s="14"/>
      <c r="M15" s="14"/>
      <c r="N15" s="14"/>
      <c r="O15" s="14"/>
      <c r="P15" s="13"/>
    </row>
    <row r="16" spans="1:16" x14ac:dyDescent="0.25">
      <c r="A16" s="18"/>
      <c r="B16" s="1040" t="s">
        <v>2055</v>
      </c>
      <c r="C16" s="18"/>
      <c r="D16" s="18"/>
      <c r="E16" s="18"/>
      <c r="F16" s="18"/>
      <c r="G16" s="18"/>
      <c r="H16" s="18"/>
      <c r="I16" s="18"/>
      <c r="J16" s="18"/>
      <c r="K16" s="18"/>
      <c r="L16" s="14"/>
      <c r="M16" s="14"/>
      <c r="N16" s="14"/>
      <c r="O16" s="14"/>
      <c r="P16" s="13"/>
    </row>
    <row r="17" spans="1:16" x14ac:dyDescent="0.25">
      <c r="A17" s="18"/>
      <c r="B17" s="1041" t="s">
        <v>2056</v>
      </c>
      <c r="C17" s="18"/>
      <c r="D17" s="18"/>
      <c r="E17" s="18"/>
      <c r="F17" s="18"/>
      <c r="G17" s="18"/>
      <c r="H17" s="18"/>
      <c r="I17" s="18"/>
      <c r="J17" s="18"/>
      <c r="K17" s="18"/>
      <c r="L17" s="14"/>
      <c r="M17" s="14"/>
      <c r="N17" s="14"/>
      <c r="O17" s="14"/>
      <c r="P17" s="13"/>
    </row>
    <row r="18" spans="1:16" x14ac:dyDescent="0.25">
      <c r="A18" s="18"/>
      <c r="B18" s="18"/>
      <c r="C18" s="18"/>
      <c r="D18" s="18"/>
      <c r="E18" s="18"/>
      <c r="F18" s="18"/>
      <c r="G18" s="18"/>
      <c r="H18" s="18"/>
      <c r="I18" s="18"/>
      <c r="J18" s="18"/>
      <c r="K18" s="18"/>
      <c r="L18" s="14"/>
      <c r="M18" s="14"/>
      <c r="N18" s="14"/>
      <c r="O18" s="14"/>
      <c r="P18" s="13"/>
    </row>
    <row r="19" spans="1:16" x14ac:dyDescent="0.25">
      <c r="A19" s="18"/>
      <c r="B19" s="1040" t="s">
        <v>2057</v>
      </c>
      <c r="C19" s="18"/>
      <c r="D19" s="18"/>
      <c r="E19" s="18"/>
      <c r="F19" s="18"/>
      <c r="G19" s="18"/>
      <c r="H19" s="18"/>
      <c r="I19" s="18"/>
      <c r="J19" s="18"/>
      <c r="K19" s="18"/>
      <c r="L19" s="14"/>
      <c r="M19" s="14"/>
      <c r="N19" s="14"/>
      <c r="O19" s="14"/>
      <c r="P19" s="13"/>
    </row>
    <row r="20" spans="1:16" ht="31.5" customHeight="1" x14ac:dyDescent="0.25">
      <c r="A20" s="18"/>
      <c r="B20" s="1203" t="s">
        <v>2058</v>
      </c>
      <c r="C20" s="1203"/>
      <c r="D20" s="1203"/>
      <c r="E20" s="1203"/>
      <c r="F20" s="1203"/>
      <c r="G20" s="1203"/>
      <c r="H20" s="1203"/>
      <c r="I20" s="1203"/>
      <c r="J20" s="1203"/>
      <c r="K20" s="1203"/>
      <c r="L20" s="1203"/>
      <c r="M20" s="1203"/>
      <c r="N20" s="1203"/>
      <c r="O20" s="14"/>
      <c r="P20" s="13"/>
    </row>
    <row r="21" spans="1:16" x14ac:dyDescent="0.25">
      <c r="A21" s="18"/>
      <c r="B21" s="18"/>
      <c r="C21" s="18"/>
      <c r="D21" s="18"/>
      <c r="E21" s="18"/>
      <c r="F21" s="18"/>
      <c r="G21" s="18"/>
      <c r="H21" s="18"/>
      <c r="I21" s="18"/>
      <c r="J21" s="18"/>
      <c r="K21" s="18"/>
      <c r="L21" s="14"/>
      <c r="M21" s="14"/>
      <c r="N21" s="14"/>
      <c r="O21" s="14"/>
      <c r="P21" s="13"/>
    </row>
    <row r="22" spans="1:16" x14ac:dyDescent="0.25">
      <c r="A22" s="18"/>
      <c r="B22" s="1203" t="s">
        <v>2059</v>
      </c>
      <c r="C22" s="1203"/>
      <c r="D22" s="1203"/>
      <c r="E22" s="1203"/>
      <c r="F22" s="1203"/>
      <c r="G22" s="1203"/>
      <c r="H22" s="1203"/>
      <c r="I22" s="1203"/>
      <c r="J22" s="1203"/>
      <c r="K22" s="1203"/>
      <c r="L22" s="1203"/>
      <c r="M22" s="1203"/>
      <c r="N22" s="1203"/>
      <c r="O22" s="14"/>
      <c r="P22" s="13"/>
    </row>
    <row r="23" spans="1:16" x14ac:dyDescent="0.25">
      <c r="A23" s="18"/>
      <c r="B23" s="18"/>
      <c r="C23" s="18"/>
      <c r="D23" s="18"/>
      <c r="E23" s="18"/>
      <c r="F23" s="18"/>
      <c r="G23" s="18"/>
      <c r="H23" s="18"/>
      <c r="I23" s="18"/>
      <c r="J23" s="18"/>
      <c r="K23" s="18"/>
      <c r="L23" s="14"/>
      <c r="M23" s="14"/>
      <c r="N23" s="14"/>
      <c r="O23" s="14"/>
      <c r="P23" s="13"/>
    </row>
    <row r="24" spans="1:16" ht="18" customHeight="1" x14ac:dyDescent="0.25">
      <c r="A24" s="1204" t="s">
        <v>2060</v>
      </c>
      <c r="B24" s="1204"/>
      <c r="C24" s="1204"/>
      <c r="D24" s="1204"/>
      <c r="E24" s="18"/>
      <c r="F24" s="18"/>
      <c r="G24" s="18"/>
      <c r="H24" s="18"/>
      <c r="I24" s="18"/>
      <c r="J24" s="18"/>
      <c r="K24" s="18"/>
      <c r="L24" s="14"/>
      <c r="M24" s="14"/>
      <c r="N24" s="14"/>
      <c r="O24" s="14"/>
      <c r="P24" s="13"/>
    </row>
    <row r="25" spans="1:16" ht="15" customHeight="1" x14ac:dyDescent="0.25">
      <c r="A25" s="18"/>
      <c r="B25" s="18"/>
      <c r="C25" s="18"/>
      <c r="D25" s="18"/>
      <c r="E25" s="18"/>
      <c r="F25" s="18"/>
      <c r="G25" s="18"/>
      <c r="H25" s="18"/>
      <c r="I25" s="18"/>
      <c r="J25" s="18"/>
      <c r="K25" s="18"/>
      <c r="L25" s="14"/>
      <c r="M25" s="14"/>
      <c r="N25" s="14"/>
      <c r="O25" s="14"/>
      <c r="P25" s="13"/>
    </row>
    <row r="26" spans="1:16" ht="15" customHeight="1" x14ac:dyDescent="0.25">
      <c r="A26" s="18"/>
      <c r="B26" s="1203" t="s">
        <v>2288</v>
      </c>
      <c r="C26" s="1203"/>
      <c r="D26" s="1203"/>
      <c r="E26" s="1203"/>
      <c r="F26" s="1203"/>
      <c r="G26" s="1203"/>
      <c r="H26" s="1203"/>
      <c r="I26" s="1203"/>
      <c r="J26" s="1203"/>
      <c r="K26" s="1203"/>
      <c r="L26" s="1203"/>
      <c r="M26" s="1203"/>
      <c r="N26" s="1203"/>
      <c r="O26" s="14"/>
      <c r="P26" s="13"/>
    </row>
    <row r="27" spans="1:16" x14ac:dyDescent="0.25">
      <c r="A27" s="18"/>
      <c r="B27" s="18"/>
      <c r="C27" s="18"/>
      <c r="D27" s="18"/>
      <c r="E27" s="18"/>
      <c r="F27" s="18"/>
      <c r="G27" s="18"/>
      <c r="H27" s="18"/>
      <c r="I27" s="18"/>
      <c r="J27" s="18"/>
      <c r="K27" s="18"/>
      <c r="L27" s="14"/>
      <c r="M27" s="14"/>
      <c r="N27" s="14"/>
      <c r="O27" s="14"/>
      <c r="P27" s="13"/>
    </row>
    <row r="28" spans="1:16" ht="15.75" x14ac:dyDescent="0.25">
      <c r="A28" s="18"/>
      <c r="B28" s="1087" t="s">
        <v>2113</v>
      </c>
      <c r="C28" s="18"/>
      <c r="D28" s="18"/>
      <c r="E28" s="18"/>
      <c r="F28" s="18"/>
      <c r="G28" s="18"/>
      <c r="H28" s="18"/>
      <c r="I28" s="18"/>
      <c r="J28" s="18"/>
      <c r="K28" s="18"/>
      <c r="L28" s="14"/>
      <c r="M28" s="14"/>
      <c r="N28" s="14"/>
      <c r="O28" s="14"/>
      <c r="P28" s="13"/>
    </row>
    <row r="29" spans="1:16" ht="12" customHeight="1" x14ac:dyDescent="0.25">
      <c r="A29" s="18"/>
      <c r="B29" s="1088"/>
      <c r="C29" s="1089"/>
      <c r="D29" s="1089"/>
      <c r="E29" s="1089"/>
      <c r="F29" s="1089"/>
      <c r="G29" s="1089"/>
      <c r="H29" s="1089"/>
      <c r="I29" s="1089"/>
      <c r="J29" s="1089"/>
      <c r="K29" s="1090"/>
      <c r="L29" s="14"/>
      <c r="M29" s="14"/>
      <c r="N29" s="14"/>
      <c r="O29" s="14"/>
      <c r="P29" s="13"/>
    </row>
    <row r="30" spans="1:16" x14ac:dyDescent="0.25">
      <c r="A30" s="18"/>
      <c r="B30" s="1091"/>
      <c r="C30" s="18"/>
      <c r="E30" s="18"/>
      <c r="F30" s="18"/>
      <c r="G30" s="18"/>
      <c r="H30" s="18"/>
      <c r="I30" s="18"/>
      <c r="J30" s="14"/>
      <c r="K30" s="1093"/>
      <c r="L30" s="14"/>
      <c r="M30" s="14"/>
      <c r="N30" s="14"/>
      <c r="O30" s="14"/>
      <c r="P30" s="13"/>
    </row>
    <row r="31" spans="1:16" x14ac:dyDescent="0.25">
      <c r="A31" s="18"/>
      <c r="B31" s="1091"/>
      <c r="C31" s="18"/>
      <c r="D31" s="18"/>
      <c r="E31" s="18"/>
      <c r="F31" s="18"/>
      <c r="G31" s="18"/>
      <c r="I31" s="18"/>
      <c r="J31" s="14"/>
      <c r="K31" s="1093"/>
      <c r="L31" s="14"/>
      <c r="M31" s="14"/>
      <c r="N31" s="14"/>
      <c r="O31" s="14"/>
      <c r="P31" s="13"/>
    </row>
    <row r="32" spans="1:16" x14ac:dyDescent="0.25">
      <c r="A32" s="18"/>
      <c r="B32" s="1091"/>
      <c r="C32" s="18"/>
      <c r="D32" s="18"/>
      <c r="E32" s="18"/>
      <c r="F32" s="18"/>
      <c r="H32" s="18"/>
      <c r="I32" s="18"/>
      <c r="J32" s="14"/>
      <c r="K32" s="1093"/>
      <c r="L32" s="14"/>
      <c r="M32" s="14"/>
      <c r="N32" s="14"/>
      <c r="O32" s="14"/>
      <c r="P32" s="13"/>
    </row>
    <row r="33" spans="1:16" x14ac:dyDescent="0.25">
      <c r="A33" s="18"/>
      <c r="B33" s="1091"/>
      <c r="C33" s="18"/>
      <c r="D33" s="18"/>
      <c r="E33" s="18"/>
      <c r="F33" s="18"/>
      <c r="G33" s="18"/>
      <c r="H33" s="18"/>
      <c r="I33" s="18"/>
      <c r="K33" s="1093"/>
      <c r="L33" s="14"/>
      <c r="M33" s="14"/>
      <c r="N33" s="14"/>
      <c r="O33" s="14"/>
      <c r="P33" s="13"/>
    </row>
    <row r="34" spans="1:16" x14ac:dyDescent="0.25">
      <c r="A34" s="18"/>
      <c r="B34" s="1091"/>
      <c r="C34" s="18"/>
      <c r="D34" s="18"/>
      <c r="E34" s="18"/>
      <c r="F34" s="18"/>
      <c r="G34" s="18"/>
      <c r="H34" s="18"/>
      <c r="I34" s="18"/>
      <c r="J34" s="14"/>
      <c r="K34" s="1093"/>
      <c r="L34" s="14"/>
      <c r="M34" s="14"/>
      <c r="N34" s="14"/>
      <c r="O34" s="14"/>
      <c r="P34" s="13"/>
    </row>
    <row r="35" spans="1:16" x14ac:dyDescent="0.25">
      <c r="A35" s="18"/>
      <c r="B35" s="1091"/>
      <c r="C35" s="18"/>
      <c r="D35" s="18"/>
      <c r="E35" s="18"/>
      <c r="F35" s="18"/>
      <c r="G35" s="18"/>
      <c r="H35" s="18"/>
      <c r="I35" s="18"/>
      <c r="J35" s="14"/>
      <c r="K35" s="1093"/>
      <c r="L35" s="14"/>
      <c r="M35" s="14"/>
      <c r="N35" s="14"/>
      <c r="O35" s="14"/>
      <c r="P35" s="13"/>
    </row>
    <row r="36" spans="1:16" x14ac:dyDescent="0.25">
      <c r="A36" s="18"/>
      <c r="B36" s="1091"/>
      <c r="C36" s="18"/>
      <c r="D36" s="18"/>
      <c r="E36" s="18"/>
      <c r="F36" s="18"/>
      <c r="G36" s="18"/>
      <c r="H36" s="18"/>
      <c r="I36" s="18"/>
      <c r="J36" s="14"/>
      <c r="K36" s="1093"/>
      <c r="L36" s="14"/>
      <c r="M36" s="14"/>
      <c r="N36" s="14"/>
      <c r="O36" s="14"/>
      <c r="P36" s="13"/>
    </row>
    <row r="37" spans="1:16" x14ac:dyDescent="0.25">
      <c r="A37" s="18"/>
      <c r="B37" s="1091"/>
      <c r="C37" s="18"/>
      <c r="D37" s="18"/>
      <c r="E37" s="18"/>
      <c r="F37" s="18"/>
      <c r="G37" s="18"/>
      <c r="H37" s="18"/>
      <c r="I37" s="18"/>
      <c r="J37" s="14"/>
      <c r="K37" s="1093"/>
      <c r="L37" s="14"/>
      <c r="M37" s="14"/>
      <c r="N37" s="14"/>
      <c r="O37" s="14"/>
      <c r="P37" s="13"/>
    </row>
    <row r="38" spans="1:16" x14ac:dyDescent="0.25">
      <c r="A38" s="18"/>
      <c r="B38" s="1091"/>
      <c r="C38" s="18"/>
      <c r="D38" s="18"/>
      <c r="E38" s="18"/>
      <c r="F38" s="18"/>
      <c r="G38" s="18"/>
      <c r="H38" s="18"/>
      <c r="I38" s="18"/>
      <c r="J38" s="14"/>
      <c r="K38" s="1093"/>
      <c r="L38" s="14"/>
      <c r="M38" s="14"/>
      <c r="N38" s="14"/>
      <c r="O38" s="14"/>
      <c r="P38" s="13"/>
    </row>
    <row r="39" spans="1:16" x14ac:dyDescent="0.25">
      <c r="A39" s="18"/>
      <c r="B39" s="1091"/>
      <c r="C39" s="18"/>
      <c r="D39" s="18"/>
      <c r="E39" s="18"/>
      <c r="F39" s="18"/>
      <c r="G39" s="18"/>
      <c r="H39" s="18"/>
      <c r="I39" s="18"/>
      <c r="J39" s="14"/>
      <c r="K39" s="1093"/>
      <c r="L39" s="14"/>
      <c r="M39" s="14"/>
      <c r="N39" s="14"/>
      <c r="O39" s="14"/>
      <c r="P39" s="13"/>
    </row>
    <row r="40" spans="1:16" x14ac:dyDescent="0.25">
      <c r="A40" s="18"/>
      <c r="B40" s="1091"/>
      <c r="C40" s="18"/>
      <c r="D40" s="18"/>
      <c r="E40" s="18"/>
      <c r="F40" s="18"/>
      <c r="G40" s="18"/>
      <c r="H40" s="18"/>
      <c r="I40" s="18"/>
      <c r="J40" s="14"/>
      <c r="K40" s="1093"/>
      <c r="L40" s="14"/>
      <c r="M40" s="14"/>
      <c r="N40" s="14"/>
      <c r="O40" s="14"/>
      <c r="P40" s="13"/>
    </row>
    <row r="41" spans="1:16" x14ac:dyDescent="0.25">
      <c r="A41" s="18"/>
      <c r="B41" s="1091"/>
      <c r="C41" s="18"/>
      <c r="D41" s="18"/>
      <c r="E41" s="18"/>
      <c r="F41" s="18"/>
      <c r="G41" s="18"/>
      <c r="H41" s="18"/>
      <c r="I41" s="18"/>
      <c r="J41" s="14"/>
      <c r="K41" s="1093"/>
      <c r="L41" s="14"/>
      <c r="M41" s="14"/>
      <c r="N41" s="14"/>
      <c r="O41" s="14"/>
      <c r="P41" s="13"/>
    </row>
    <row r="42" spans="1:16" x14ac:dyDescent="0.25">
      <c r="A42" s="18"/>
      <c r="B42" s="1091"/>
      <c r="C42" s="18"/>
      <c r="D42" s="18"/>
      <c r="E42" s="18"/>
      <c r="F42" s="18"/>
      <c r="G42" s="18"/>
      <c r="H42" s="18"/>
      <c r="I42" s="18"/>
      <c r="J42" s="14"/>
      <c r="K42" s="1093"/>
      <c r="L42" s="14"/>
      <c r="M42" s="14"/>
      <c r="N42" s="14"/>
      <c r="O42" s="14"/>
      <c r="P42" s="13"/>
    </row>
    <row r="43" spans="1:16" x14ac:dyDescent="0.25">
      <c r="A43" s="18"/>
      <c r="B43" s="1091"/>
      <c r="C43" s="18"/>
      <c r="D43" s="18"/>
      <c r="E43" s="18"/>
      <c r="F43" s="18"/>
      <c r="G43" s="18"/>
      <c r="H43" s="18"/>
      <c r="I43" s="18"/>
      <c r="J43" s="14"/>
      <c r="K43" s="1093"/>
      <c r="L43" s="14"/>
      <c r="M43" s="14"/>
      <c r="N43" s="14"/>
      <c r="O43" s="14"/>
      <c r="P43" s="13"/>
    </row>
    <row r="44" spans="1:16" ht="10.5" customHeight="1" x14ac:dyDescent="0.25">
      <c r="A44" s="18"/>
      <c r="B44" s="1094"/>
      <c r="C44" s="1095"/>
      <c r="D44" s="1095"/>
      <c r="E44" s="1095"/>
      <c r="F44" s="1095"/>
      <c r="G44" s="1095"/>
      <c r="H44" s="1095"/>
      <c r="I44" s="1095"/>
      <c r="J44" s="1095"/>
      <c r="K44" s="1096"/>
      <c r="L44" s="14"/>
      <c r="M44" s="14"/>
      <c r="N44" s="14"/>
      <c r="O44" s="14"/>
      <c r="P44" s="13"/>
    </row>
    <row r="45" spans="1:16" ht="10.5" customHeight="1" x14ac:dyDescent="0.25">
      <c r="A45" s="18"/>
      <c r="B45" s="21"/>
      <c r="C45" s="1092"/>
      <c r="D45" s="1092"/>
      <c r="E45" s="1092"/>
      <c r="F45" s="1092"/>
      <c r="G45" s="1092"/>
      <c r="H45" s="1092"/>
      <c r="I45" s="1092"/>
      <c r="J45" s="1092"/>
      <c r="K45" s="1092"/>
      <c r="L45" s="1092"/>
      <c r="M45" s="14"/>
      <c r="N45" s="14"/>
      <c r="O45" s="14"/>
      <c r="P45" s="13"/>
    </row>
    <row r="46" spans="1:16" ht="15.75" x14ac:dyDescent="0.25">
      <c r="A46" s="18"/>
      <c r="B46" s="1166" t="s">
        <v>2114</v>
      </c>
      <c r="C46" s="18"/>
      <c r="D46" s="18"/>
      <c r="E46" s="18"/>
      <c r="F46" s="18"/>
      <c r="G46" s="18"/>
      <c r="H46" s="18"/>
      <c r="I46" s="18"/>
      <c r="J46" s="18"/>
      <c r="K46" s="18"/>
      <c r="L46" s="14"/>
      <c r="M46" s="14"/>
      <c r="N46" s="14"/>
      <c r="O46" s="14"/>
      <c r="P46" s="13"/>
    </row>
    <row r="47" spans="1:16" ht="12" customHeight="1" x14ac:dyDescent="0.25">
      <c r="A47" s="21"/>
      <c r="B47" s="1097"/>
      <c r="C47" s="1098"/>
      <c r="D47" s="1098"/>
      <c r="E47" s="1098"/>
      <c r="F47" s="1098"/>
      <c r="G47" s="1098"/>
      <c r="H47" s="1098"/>
      <c r="I47" s="1098"/>
      <c r="J47" s="1098"/>
      <c r="K47" s="1098"/>
      <c r="L47" s="1098"/>
      <c r="M47" s="1098"/>
      <c r="N47" s="1099"/>
      <c r="O47" s="14"/>
      <c r="P47" s="13"/>
    </row>
    <row r="48" spans="1:16" x14ac:dyDescent="0.25">
      <c r="A48" s="21"/>
      <c r="B48" s="1100"/>
      <c r="C48" s="21"/>
      <c r="D48" s="21"/>
      <c r="E48" s="21"/>
      <c r="F48" s="18"/>
      <c r="G48" s="18"/>
      <c r="H48" s="18"/>
      <c r="I48" s="18"/>
      <c r="J48" s="18"/>
      <c r="K48" s="18"/>
      <c r="L48" s="18"/>
      <c r="M48" s="18"/>
      <c r="N48" s="1101"/>
      <c r="O48" s="14"/>
      <c r="P48" s="13"/>
    </row>
    <row r="49" spans="1:16" x14ac:dyDescent="0.25">
      <c r="A49" s="21"/>
      <c r="B49" s="1100"/>
      <c r="C49" s="21"/>
      <c r="D49" s="21"/>
      <c r="E49" s="21"/>
      <c r="F49" s="18"/>
      <c r="G49" s="18"/>
      <c r="H49" s="18"/>
      <c r="I49" s="18"/>
      <c r="J49" s="18"/>
      <c r="K49" s="18"/>
      <c r="L49" s="18"/>
      <c r="M49" s="18"/>
      <c r="N49" s="1101"/>
      <c r="O49" s="14"/>
      <c r="P49" s="13"/>
    </row>
    <row r="50" spans="1:16" x14ac:dyDescent="0.25">
      <c r="A50" s="21"/>
      <c r="B50" s="1100"/>
      <c r="C50" s="21"/>
      <c r="D50" s="21"/>
      <c r="E50" s="21"/>
      <c r="F50" s="18"/>
      <c r="G50" s="18"/>
      <c r="H50" s="18"/>
      <c r="I50" s="18"/>
      <c r="J50" s="18"/>
      <c r="K50" s="18"/>
      <c r="L50" s="18"/>
      <c r="M50" s="18"/>
      <c r="N50" s="1101"/>
      <c r="O50" s="14"/>
      <c r="P50" s="13"/>
    </row>
    <row r="51" spans="1:16" x14ac:dyDescent="0.25">
      <c r="A51" s="21"/>
      <c r="B51" s="1100"/>
      <c r="C51" s="21"/>
      <c r="D51" s="21"/>
      <c r="E51" s="21"/>
      <c r="F51" s="18"/>
      <c r="G51" s="18"/>
      <c r="H51" s="18"/>
      <c r="I51" s="18"/>
      <c r="J51" s="18"/>
      <c r="K51" s="18"/>
      <c r="L51" s="18"/>
      <c r="M51" s="18"/>
      <c r="N51" s="1101"/>
      <c r="O51" s="14"/>
      <c r="P51" s="13"/>
    </row>
    <row r="52" spans="1:16" x14ac:dyDescent="0.25">
      <c r="A52" s="21"/>
      <c r="B52" s="1100"/>
      <c r="C52" s="21"/>
      <c r="D52" s="21"/>
      <c r="E52" s="21"/>
      <c r="F52" s="18"/>
      <c r="G52" s="18"/>
      <c r="H52" s="18"/>
      <c r="I52" s="18"/>
      <c r="J52" s="18"/>
      <c r="K52" s="18"/>
      <c r="L52" s="18"/>
      <c r="M52" s="18"/>
      <c r="N52" s="1101"/>
      <c r="O52" s="14"/>
      <c r="P52" s="13"/>
    </row>
    <row r="53" spans="1:16" x14ac:dyDescent="0.25">
      <c r="A53" s="21"/>
      <c r="B53" s="1100"/>
      <c r="C53" s="21"/>
      <c r="D53" s="21"/>
      <c r="E53" s="21"/>
      <c r="F53" s="18"/>
      <c r="G53" s="18"/>
      <c r="H53" s="18"/>
      <c r="I53" s="18"/>
      <c r="J53" s="18"/>
      <c r="K53" s="18"/>
      <c r="L53" s="18"/>
      <c r="M53" s="18"/>
      <c r="N53" s="1101"/>
      <c r="O53" s="14"/>
      <c r="P53" s="13"/>
    </row>
    <row r="54" spans="1:16" x14ac:dyDescent="0.25">
      <c r="A54" s="21"/>
      <c r="B54" s="1100"/>
      <c r="C54" s="21"/>
      <c r="D54" s="21"/>
      <c r="E54" s="21"/>
      <c r="F54" s="18"/>
      <c r="G54" s="18"/>
      <c r="H54" s="18"/>
      <c r="I54" s="18"/>
      <c r="J54" s="18"/>
      <c r="K54" s="18"/>
      <c r="L54" s="18"/>
      <c r="M54" s="18"/>
      <c r="N54" s="1101"/>
      <c r="O54" s="14"/>
      <c r="P54" s="13"/>
    </row>
    <row r="55" spans="1:16" x14ac:dyDescent="0.25">
      <c r="A55" s="21"/>
      <c r="B55" s="1100"/>
      <c r="C55" s="21"/>
      <c r="D55" s="21"/>
      <c r="E55" s="21"/>
      <c r="F55" s="18"/>
      <c r="G55" s="18"/>
      <c r="H55" s="18"/>
      <c r="I55" s="18"/>
      <c r="J55" s="18"/>
      <c r="K55" s="18"/>
      <c r="L55" s="18"/>
      <c r="M55" s="18"/>
      <c r="N55" s="1101"/>
      <c r="O55" s="14"/>
      <c r="P55" s="13"/>
    </row>
    <row r="56" spans="1:16" x14ac:dyDescent="0.25">
      <c r="A56" s="21"/>
      <c r="B56" s="1100"/>
      <c r="C56" s="21"/>
      <c r="D56" s="21"/>
      <c r="E56" s="21"/>
      <c r="F56" s="18"/>
      <c r="G56" s="18"/>
      <c r="H56" s="18"/>
      <c r="I56" s="18"/>
      <c r="J56" s="18"/>
      <c r="K56" s="18"/>
      <c r="L56" s="18"/>
      <c r="M56" s="18"/>
      <c r="N56" s="1101"/>
      <c r="O56" s="14"/>
      <c r="P56" s="13"/>
    </row>
    <row r="57" spans="1:16" x14ac:dyDescent="0.25">
      <c r="A57" s="21"/>
      <c r="B57" s="1100"/>
      <c r="C57" s="21"/>
      <c r="D57" s="21"/>
      <c r="E57" s="21"/>
      <c r="F57" s="18"/>
      <c r="G57" s="18"/>
      <c r="H57" s="18"/>
      <c r="I57" s="18"/>
      <c r="J57" s="18"/>
      <c r="K57" s="18"/>
      <c r="L57" s="18"/>
      <c r="M57" s="18"/>
      <c r="N57" s="1101"/>
      <c r="O57" s="14"/>
      <c r="P57" s="13"/>
    </row>
    <row r="58" spans="1:16" x14ac:dyDescent="0.25">
      <c r="A58" s="21"/>
      <c r="B58" s="1100"/>
      <c r="C58" s="21"/>
      <c r="D58" s="21"/>
      <c r="E58" s="21"/>
      <c r="F58" s="18"/>
      <c r="G58" s="18"/>
      <c r="H58" s="18"/>
      <c r="I58" s="18"/>
      <c r="J58" s="18"/>
      <c r="K58" s="18"/>
      <c r="L58" s="18"/>
      <c r="M58" s="18"/>
      <c r="N58" s="1101"/>
      <c r="O58" s="14"/>
      <c r="P58" s="13"/>
    </row>
    <row r="59" spans="1:16" x14ac:dyDescent="0.25">
      <c r="A59" s="21"/>
      <c r="B59" s="1100"/>
      <c r="C59" s="21"/>
      <c r="D59" s="21"/>
      <c r="E59" s="21"/>
      <c r="F59" s="18"/>
      <c r="G59" s="18"/>
      <c r="H59" s="18"/>
      <c r="I59" s="18"/>
      <c r="J59" s="18"/>
      <c r="K59" s="18"/>
      <c r="L59" s="18"/>
      <c r="M59" s="18"/>
      <c r="N59" s="1101"/>
      <c r="O59" s="14"/>
      <c r="P59" s="13"/>
    </row>
    <row r="60" spans="1:16" x14ac:dyDescent="0.25">
      <c r="A60" s="21"/>
      <c r="B60" s="1100"/>
      <c r="C60" s="21"/>
      <c r="D60" s="21"/>
      <c r="E60" s="21"/>
      <c r="F60" s="18"/>
      <c r="G60" s="18"/>
      <c r="H60" s="18"/>
      <c r="I60" s="18"/>
      <c r="J60" s="18"/>
      <c r="K60" s="18"/>
      <c r="L60" s="18"/>
      <c r="M60" s="18"/>
      <c r="N60" s="1101"/>
      <c r="O60" s="14"/>
      <c r="P60" s="13"/>
    </row>
    <row r="61" spans="1:16" x14ac:dyDescent="0.25">
      <c r="A61" s="21"/>
      <c r="B61" s="1100"/>
      <c r="C61" s="21"/>
      <c r="D61" s="21"/>
      <c r="E61" s="21"/>
      <c r="F61" s="18"/>
      <c r="G61" s="18"/>
      <c r="H61" s="18"/>
      <c r="I61" s="18"/>
      <c r="J61" s="18"/>
      <c r="K61" s="18"/>
      <c r="L61" s="18"/>
      <c r="M61" s="18"/>
      <c r="N61" s="1101"/>
      <c r="O61" s="14"/>
      <c r="P61" s="13"/>
    </row>
    <row r="62" spans="1:16" x14ac:dyDescent="0.25">
      <c r="A62" s="21"/>
      <c r="B62" s="1100"/>
      <c r="C62" s="21"/>
      <c r="D62" s="21"/>
      <c r="E62" s="21"/>
      <c r="F62" s="18"/>
      <c r="G62" s="18"/>
      <c r="H62" s="18"/>
      <c r="I62" s="18"/>
      <c r="J62" s="18"/>
      <c r="K62" s="18"/>
      <c r="L62" s="18"/>
      <c r="M62" s="18"/>
      <c r="N62" s="1101"/>
      <c r="O62" s="14"/>
      <c r="P62" s="13"/>
    </row>
    <row r="63" spans="1:16" x14ac:dyDescent="0.25">
      <c r="A63" s="21"/>
      <c r="B63" s="1100"/>
      <c r="C63" s="21"/>
      <c r="D63" s="21"/>
      <c r="E63" s="21"/>
      <c r="F63" s="18"/>
      <c r="G63" s="18"/>
      <c r="H63" s="18"/>
      <c r="I63" s="18"/>
      <c r="J63" s="18"/>
      <c r="K63" s="18"/>
      <c r="L63" s="18"/>
      <c r="M63" s="18"/>
      <c r="N63" s="1101"/>
      <c r="O63" s="14"/>
      <c r="P63" s="13"/>
    </row>
    <row r="64" spans="1:16" x14ac:dyDescent="0.25">
      <c r="A64" s="21"/>
      <c r="B64" s="1100"/>
      <c r="C64" s="21"/>
      <c r="D64" s="21"/>
      <c r="E64" s="21"/>
      <c r="F64" s="18"/>
      <c r="G64" s="18"/>
      <c r="H64" s="18"/>
      <c r="I64" s="18"/>
      <c r="J64" s="18"/>
      <c r="K64" s="18"/>
      <c r="L64" s="18"/>
      <c r="M64" s="18"/>
      <c r="N64" s="1101"/>
      <c r="O64" s="14"/>
      <c r="P64" s="13"/>
    </row>
    <row r="65" spans="1:16" ht="16.5" customHeight="1" x14ac:dyDescent="0.25">
      <c r="A65" s="21"/>
      <c r="B65" s="1100"/>
      <c r="C65" s="21"/>
      <c r="D65" s="21"/>
      <c r="E65" s="21"/>
      <c r="F65" s="18"/>
      <c r="G65" s="18"/>
      <c r="H65" s="18"/>
      <c r="I65" s="18"/>
      <c r="J65" s="18"/>
      <c r="K65" s="18"/>
      <c r="L65" s="18"/>
      <c r="M65" s="18"/>
      <c r="N65" s="1101"/>
      <c r="O65" s="14"/>
      <c r="P65" s="13"/>
    </row>
    <row r="66" spans="1:16" ht="16.5" customHeight="1" x14ac:dyDescent="0.25">
      <c r="A66" s="21"/>
      <c r="B66" s="1100"/>
      <c r="C66" s="21"/>
      <c r="D66" s="21"/>
      <c r="E66" s="21"/>
      <c r="F66" s="18"/>
      <c r="G66" s="18"/>
      <c r="H66" s="18"/>
      <c r="J66" s="18"/>
      <c r="K66" s="18"/>
      <c r="L66" s="18"/>
      <c r="M66" s="18"/>
      <c r="N66" s="1101"/>
      <c r="O66" s="14"/>
      <c r="P66" s="13"/>
    </row>
    <row r="67" spans="1:16" ht="16.5" customHeight="1" x14ac:dyDescent="0.25">
      <c r="A67" s="21"/>
      <c r="B67" s="1100"/>
      <c r="C67" s="21"/>
      <c r="D67" s="21"/>
      <c r="E67" s="21"/>
      <c r="F67" s="18"/>
      <c r="G67" s="18"/>
      <c r="H67" s="18"/>
      <c r="I67" s="18"/>
      <c r="J67" s="18"/>
      <c r="K67" s="18"/>
      <c r="L67" s="18"/>
      <c r="M67" s="18"/>
      <c r="N67" s="1101"/>
      <c r="O67" s="14"/>
      <c r="P67" s="13"/>
    </row>
    <row r="68" spans="1:16" ht="16.5" customHeight="1" x14ac:dyDescent="0.25">
      <c r="A68" s="21"/>
      <c r="B68" s="1100"/>
      <c r="C68" s="21"/>
      <c r="D68" s="21"/>
      <c r="E68" s="21"/>
      <c r="F68" s="18"/>
      <c r="G68" s="18"/>
      <c r="H68" s="18"/>
      <c r="I68" s="18"/>
      <c r="J68" s="18"/>
      <c r="K68" s="18"/>
      <c r="L68" s="18"/>
      <c r="M68" s="18"/>
      <c r="N68" s="1101"/>
      <c r="O68" s="14"/>
      <c r="P68" s="13"/>
    </row>
    <row r="69" spans="1:16" x14ac:dyDescent="0.25">
      <c r="A69" s="21"/>
      <c r="B69" s="1100"/>
      <c r="C69" s="18"/>
      <c r="D69" s="18"/>
      <c r="E69" s="18"/>
      <c r="F69" s="18"/>
      <c r="G69" s="18"/>
      <c r="H69" s="18"/>
      <c r="I69" s="18"/>
      <c r="J69" s="18"/>
      <c r="K69" s="18"/>
      <c r="L69" s="18"/>
      <c r="M69" s="18"/>
      <c r="N69" s="1101"/>
      <c r="O69" s="14"/>
      <c r="P69" s="13"/>
    </row>
    <row r="70" spans="1:16" x14ac:dyDescent="0.25">
      <c r="A70" s="18"/>
      <c r="B70" s="1102"/>
      <c r="C70" s="1103"/>
      <c r="D70" s="1103"/>
      <c r="E70" s="1103"/>
      <c r="F70" s="1103"/>
      <c r="G70" s="1103"/>
      <c r="H70" s="1103"/>
      <c r="I70" s="1103"/>
      <c r="J70" s="1103"/>
      <c r="K70" s="1103"/>
      <c r="L70" s="1103"/>
      <c r="M70" s="1103"/>
      <c r="N70" s="1104"/>
      <c r="O70" s="14"/>
      <c r="P70" s="13"/>
    </row>
    <row r="71" spans="1:16" x14ac:dyDescent="0.25">
      <c r="A71" s="18"/>
      <c r="B71" s="21"/>
      <c r="C71" s="21"/>
      <c r="D71" s="21"/>
      <c r="E71" s="21"/>
      <c r="F71" s="21"/>
      <c r="G71" s="21"/>
      <c r="H71" s="21"/>
      <c r="I71" s="21"/>
      <c r="J71" s="21"/>
      <c r="K71" s="21"/>
      <c r="L71" s="21"/>
      <c r="M71" s="21"/>
      <c r="N71" s="14"/>
      <c r="O71" s="14"/>
      <c r="P71" s="13"/>
    </row>
    <row r="72" spans="1:16" ht="15.75" x14ac:dyDescent="0.25">
      <c r="A72" s="18"/>
      <c r="B72" s="1105" t="s">
        <v>2115</v>
      </c>
      <c r="C72" s="18"/>
      <c r="D72" s="18"/>
      <c r="E72" s="18"/>
      <c r="F72" s="18"/>
      <c r="G72" s="18"/>
      <c r="H72" s="18"/>
      <c r="I72" s="18"/>
      <c r="J72" s="18"/>
      <c r="K72" s="14"/>
      <c r="L72" s="14"/>
      <c r="M72" s="14"/>
      <c r="N72" s="14"/>
      <c r="O72" s="14"/>
      <c r="P72" s="13"/>
    </row>
    <row r="73" spans="1:16" x14ac:dyDescent="0.25">
      <c r="A73" s="1167"/>
      <c r="B73" s="1106"/>
      <c r="C73" s="1106"/>
      <c r="D73" s="1106"/>
      <c r="E73" s="1106"/>
      <c r="F73" s="1106"/>
      <c r="G73" s="1106"/>
      <c r="H73" s="1106"/>
      <c r="I73" s="1106"/>
      <c r="J73" s="1106"/>
      <c r="K73" s="1106"/>
      <c r="L73" s="1106"/>
      <c r="M73" s="1106"/>
      <c r="N73" s="1107"/>
      <c r="O73" s="14"/>
      <c r="P73" s="13"/>
    </row>
    <row r="74" spans="1:16" x14ac:dyDescent="0.25">
      <c r="A74" s="1167"/>
      <c r="B74" s="1168" t="s">
        <v>2267</v>
      </c>
      <c r="C74" s="21"/>
      <c r="D74" s="18"/>
      <c r="E74" s="18"/>
      <c r="F74" s="18"/>
      <c r="G74" s="18"/>
      <c r="H74" s="18"/>
      <c r="I74" s="18"/>
      <c r="J74" s="1092"/>
      <c r="K74" s="18"/>
      <c r="L74" s="1092"/>
      <c r="M74" s="1092"/>
      <c r="N74" s="1108"/>
      <c r="O74" s="14"/>
      <c r="P74" s="13"/>
    </row>
    <row r="75" spans="1:16" x14ac:dyDescent="0.25">
      <c r="A75" s="1167"/>
      <c r="B75" s="1168" t="s">
        <v>2268</v>
      </c>
      <c r="C75" s="21"/>
      <c r="D75" s="18"/>
      <c r="E75" s="18"/>
      <c r="F75" s="18"/>
      <c r="G75" s="18"/>
      <c r="H75" s="18"/>
      <c r="I75" s="18"/>
      <c r="J75" s="1092"/>
      <c r="K75" s="18"/>
      <c r="L75" s="1092"/>
      <c r="M75" s="1092"/>
      <c r="N75" s="1108"/>
      <c r="O75" s="14"/>
      <c r="P75" s="13"/>
    </row>
    <row r="76" spans="1:16" x14ac:dyDescent="0.25">
      <c r="A76" s="1167"/>
      <c r="B76" s="1168" t="s">
        <v>2268</v>
      </c>
      <c r="C76" s="21"/>
      <c r="D76" s="18"/>
      <c r="E76" s="18"/>
      <c r="F76" s="18"/>
      <c r="G76" s="18"/>
      <c r="H76" s="18"/>
      <c r="I76" s="18"/>
      <c r="J76" s="1092"/>
      <c r="K76" s="18"/>
      <c r="L76" s="1092"/>
      <c r="M76" s="1092"/>
      <c r="N76" s="1108"/>
      <c r="O76" s="14"/>
      <c r="P76" s="13"/>
    </row>
    <row r="77" spans="1:16" x14ac:dyDescent="0.25">
      <c r="A77" s="1167"/>
      <c r="B77" s="1168" t="s">
        <v>2268</v>
      </c>
      <c r="C77" s="21"/>
      <c r="D77" s="18"/>
      <c r="E77" s="18"/>
      <c r="F77" s="18"/>
      <c r="G77" s="18"/>
      <c r="H77" s="18"/>
      <c r="I77" s="18"/>
      <c r="J77" s="1092"/>
      <c r="K77" s="18"/>
      <c r="L77" s="1092"/>
      <c r="M77" s="1092"/>
      <c r="N77" s="1108"/>
      <c r="O77" s="14"/>
      <c r="P77" s="13"/>
    </row>
    <row r="78" spans="1:16" x14ac:dyDescent="0.25">
      <c r="A78" s="1167"/>
      <c r="B78" s="1168" t="s">
        <v>2267</v>
      </c>
      <c r="C78" s="21"/>
      <c r="D78" s="18"/>
      <c r="E78" s="18"/>
      <c r="F78" s="18"/>
      <c r="G78" s="18"/>
      <c r="H78" s="18"/>
      <c r="I78" s="18"/>
      <c r="J78" s="1092"/>
      <c r="K78" s="18"/>
      <c r="L78" s="1092"/>
      <c r="M78" s="1092"/>
      <c r="N78" s="1108"/>
      <c r="O78" s="14"/>
      <c r="P78" s="13"/>
    </row>
    <row r="79" spans="1:16" x14ac:dyDescent="0.25">
      <c r="A79" s="1167"/>
      <c r="B79" s="1168" t="s">
        <v>2269</v>
      </c>
      <c r="C79" s="21"/>
      <c r="D79" s="18"/>
      <c r="E79" s="18"/>
      <c r="F79" s="18"/>
      <c r="G79" s="18"/>
      <c r="H79" s="18"/>
      <c r="I79" s="18"/>
      <c r="J79" s="1092"/>
      <c r="K79" s="18"/>
      <c r="L79" s="1092"/>
      <c r="M79" s="1092"/>
      <c r="N79" s="1108"/>
      <c r="O79" s="14"/>
      <c r="P79" s="13"/>
    </row>
    <row r="80" spans="1:16" x14ac:dyDescent="0.25">
      <c r="A80" s="1167"/>
      <c r="B80" s="1205" t="s">
        <v>2267</v>
      </c>
      <c r="C80" s="21"/>
      <c r="D80" s="18"/>
      <c r="E80" s="18"/>
      <c r="F80" s="18"/>
      <c r="G80" s="18"/>
      <c r="H80" s="18"/>
      <c r="I80" s="18"/>
      <c r="J80" s="1092"/>
      <c r="K80" s="18"/>
      <c r="L80" s="1092"/>
      <c r="M80" s="1092"/>
      <c r="N80" s="1108"/>
      <c r="O80" s="14"/>
      <c r="P80" s="13"/>
    </row>
    <row r="81" spans="1:16" x14ac:dyDescent="0.25">
      <c r="A81" s="1167"/>
      <c r="B81" s="1205"/>
      <c r="C81" s="21"/>
      <c r="D81" s="18"/>
      <c r="E81" s="18"/>
      <c r="F81" s="18"/>
      <c r="G81" s="18"/>
      <c r="H81" s="18"/>
      <c r="I81" s="18"/>
      <c r="J81" s="1092"/>
      <c r="K81" s="18"/>
      <c r="L81" s="1092"/>
      <c r="M81" s="1092"/>
      <c r="N81" s="1108"/>
      <c r="O81" s="14"/>
      <c r="P81" s="13"/>
    </row>
    <row r="82" spans="1:16" x14ac:dyDescent="0.25">
      <c r="A82" s="1167"/>
      <c r="B82" s="21"/>
      <c r="C82" s="21"/>
      <c r="D82" s="18"/>
      <c r="E82" s="18"/>
      <c r="F82" s="14"/>
      <c r="G82" s="14"/>
      <c r="H82" s="14"/>
      <c r="I82" s="14"/>
      <c r="J82" s="1092"/>
      <c r="K82" s="14"/>
      <c r="L82" s="1092"/>
      <c r="M82" s="1092"/>
      <c r="N82" s="1108"/>
      <c r="O82" s="14"/>
      <c r="P82" s="13"/>
    </row>
    <row r="83" spans="1:16" x14ac:dyDescent="0.25">
      <c r="A83" s="1167"/>
      <c r="B83" s="18"/>
      <c r="C83" s="18"/>
      <c r="D83" s="18"/>
      <c r="E83" s="18"/>
      <c r="F83" s="14"/>
      <c r="G83" s="14"/>
      <c r="H83" s="14"/>
      <c r="I83" s="14"/>
      <c r="J83" s="1092"/>
      <c r="K83" s="14"/>
      <c r="L83" s="1092"/>
      <c r="M83" s="1092"/>
      <c r="N83" s="1108"/>
      <c r="O83" s="14"/>
      <c r="P83" s="13"/>
    </row>
    <row r="84" spans="1:16" x14ac:dyDescent="0.25">
      <c r="A84" s="1167"/>
      <c r="B84" s="18"/>
      <c r="C84" s="18"/>
      <c r="D84" s="18"/>
      <c r="E84" s="18"/>
      <c r="F84" s="14"/>
      <c r="G84" s="14"/>
      <c r="H84" s="14"/>
      <c r="I84" s="14"/>
      <c r="J84" s="1092"/>
      <c r="K84" s="14"/>
      <c r="L84" s="1092"/>
      <c r="M84" s="1092"/>
      <c r="N84" s="1108"/>
      <c r="O84" s="14"/>
      <c r="P84" s="13"/>
    </row>
    <row r="85" spans="1:16" x14ac:dyDescent="0.25">
      <c r="A85" s="1167"/>
      <c r="B85" s="18"/>
      <c r="C85" s="18"/>
      <c r="D85" s="18"/>
      <c r="E85" s="18"/>
      <c r="F85" s="14"/>
      <c r="G85" s="14"/>
      <c r="H85" s="14"/>
      <c r="I85" s="14"/>
      <c r="J85" s="1092"/>
      <c r="K85" s="14"/>
      <c r="L85" s="1092"/>
      <c r="M85" s="1092"/>
      <c r="N85" s="1108"/>
      <c r="O85" s="14"/>
      <c r="P85" s="13"/>
    </row>
    <row r="86" spans="1:16" x14ac:dyDescent="0.25">
      <c r="A86" s="1167"/>
      <c r="B86" s="18"/>
      <c r="C86" s="18"/>
      <c r="D86" s="18"/>
      <c r="E86" s="18"/>
      <c r="F86" s="14"/>
      <c r="G86" s="14"/>
      <c r="H86" s="14"/>
      <c r="I86" s="14"/>
      <c r="J86" s="1092"/>
      <c r="K86" s="14"/>
      <c r="L86" s="1092"/>
      <c r="M86" s="1092"/>
      <c r="N86" s="1108"/>
      <c r="O86" s="14"/>
      <c r="P86" s="13"/>
    </row>
    <row r="87" spans="1:16" x14ac:dyDescent="0.25">
      <c r="A87" s="1167"/>
      <c r="B87" s="18"/>
      <c r="C87" s="18"/>
      <c r="D87" s="18"/>
      <c r="E87" s="18"/>
      <c r="F87" s="14"/>
      <c r="G87" s="14"/>
      <c r="H87" s="14"/>
      <c r="I87" s="14"/>
      <c r="J87" s="1092"/>
      <c r="K87" s="14"/>
      <c r="L87" s="1092"/>
      <c r="M87" s="1092"/>
      <c r="N87" s="1108"/>
      <c r="O87" s="14"/>
      <c r="P87" s="13"/>
    </row>
    <row r="88" spans="1:16" x14ac:dyDescent="0.25">
      <c r="A88" s="1167"/>
      <c r="B88" s="1109"/>
      <c r="C88" s="1109"/>
      <c r="D88" s="1109"/>
      <c r="E88" s="1109"/>
      <c r="F88" s="1109"/>
      <c r="G88" s="1109"/>
      <c r="H88" s="1109"/>
      <c r="I88" s="1109"/>
      <c r="J88" s="1109"/>
      <c r="K88" s="1109"/>
      <c r="L88" s="1109"/>
      <c r="M88" s="1109"/>
      <c r="N88" s="1110"/>
      <c r="O88" s="14"/>
      <c r="P88" s="13"/>
    </row>
    <row r="89" spans="1:16" x14ac:dyDescent="0.25">
      <c r="A89" s="18"/>
      <c r="B89" s="18"/>
      <c r="C89" s="18"/>
      <c r="D89" s="18"/>
      <c r="E89" s="18"/>
      <c r="F89" s="14"/>
      <c r="G89" s="14"/>
      <c r="H89" s="14"/>
      <c r="I89" s="14"/>
      <c r="J89" s="14"/>
      <c r="K89" s="14"/>
      <c r="L89" s="14"/>
      <c r="M89" s="14"/>
      <c r="N89" s="14"/>
      <c r="O89" s="14"/>
      <c r="P89" s="13"/>
    </row>
    <row r="90" spans="1:16" ht="15.75" thickBot="1" x14ac:dyDescent="0.3">
      <c r="A90" s="18"/>
      <c r="B90" s="18"/>
      <c r="C90" s="18"/>
      <c r="D90" s="18"/>
      <c r="E90" s="18"/>
      <c r="F90" s="18"/>
      <c r="G90" s="18"/>
      <c r="H90" s="18"/>
      <c r="I90" s="18"/>
      <c r="J90" s="18"/>
      <c r="K90" s="18"/>
      <c r="L90" s="14"/>
      <c r="M90" s="14"/>
      <c r="N90" s="14"/>
      <c r="O90" s="14"/>
      <c r="P90" s="13"/>
    </row>
    <row r="91" spans="1:16" ht="15.75" thickBot="1" x14ac:dyDescent="0.3">
      <c r="A91" s="18"/>
      <c r="B91" s="1170" t="s">
        <v>2061</v>
      </c>
      <c r="C91" s="18"/>
      <c r="D91" s="18"/>
      <c r="E91" s="18"/>
      <c r="F91" s="18"/>
      <c r="G91" s="18"/>
      <c r="H91" s="18"/>
      <c r="I91" s="18"/>
      <c r="J91" s="18"/>
      <c r="K91" s="18"/>
      <c r="L91" s="1169"/>
      <c r="M91" s="1169"/>
      <c r="N91" s="1169"/>
      <c r="O91" s="14"/>
      <c r="P91" s="13"/>
    </row>
    <row r="92" spans="1:16" ht="12" customHeight="1" thickBot="1" x14ac:dyDescent="0.3">
      <c r="A92" s="18"/>
      <c r="B92" s="18"/>
      <c r="C92" s="18"/>
      <c r="D92" s="18"/>
      <c r="E92" s="18"/>
      <c r="F92" s="18"/>
      <c r="G92" s="18"/>
      <c r="H92" s="18"/>
      <c r="I92" s="18"/>
      <c r="J92" s="18"/>
      <c r="K92" s="18"/>
      <c r="L92" s="1169"/>
      <c r="M92" s="1169"/>
      <c r="N92" s="1169"/>
      <c r="O92" s="14"/>
      <c r="P92" s="13"/>
    </row>
    <row r="93" spans="1:16" ht="16.5" customHeight="1" thickBot="1" x14ac:dyDescent="0.3">
      <c r="A93" s="18"/>
      <c r="B93" s="1139" t="s">
        <v>2062</v>
      </c>
      <c r="C93" s="1140"/>
      <c r="D93" s="1140"/>
      <c r="E93" s="1140"/>
      <c r="F93" s="18"/>
      <c r="G93" s="1139" t="s">
        <v>2270</v>
      </c>
      <c r="H93" s="1140"/>
      <c r="I93" s="1140"/>
      <c r="J93" s="1140"/>
      <c r="K93" s="1139"/>
      <c r="L93" s="1140"/>
      <c r="M93" s="1169"/>
      <c r="N93" s="1169"/>
      <c r="O93" s="14"/>
      <c r="P93" s="13"/>
    </row>
    <row r="94" spans="1:16" ht="16.5" customHeight="1" thickBot="1" x14ac:dyDescent="0.3">
      <c r="A94" s="18"/>
      <c r="B94" s="1139" t="s">
        <v>2111</v>
      </c>
      <c r="C94" s="1140"/>
      <c r="D94" s="1140"/>
      <c r="E94" s="1140"/>
      <c r="F94" s="1111"/>
      <c r="G94" s="1139" t="s">
        <v>2063</v>
      </c>
      <c r="H94" s="1140"/>
      <c r="I94" s="1140"/>
      <c r="J94" s="1140"/>
      <c r="K94" s="1139"/>
      <c r="L94" s="1140"/>
      <c r="M94" s="1169"/>
      <c r="N94" s="1169"/>
      <c r="O94" s="14"/>
      <c r="P94" s="13"/>
    </row>
    <row r="95" spans="1:16" ht="16.5" customHeight="1" thickBot="1" x14ac:dyDescent="0.3">
      <c r="A95" s="18"/>
      <c r="B95" s="1139" t="s">
        <v>2064</v>
      </c>
      <c r="C95" s="1140"/>
      <c r="D95" s="1140"/>
      <c r="E95" s="1140"/>
      <c r="F95" s="1111"/>
      <c r="G95" s="1139" t="s">
        <v>2065</v>
      </c>
      <c r="H95" s="1140"/>
      <c r="I95" s="1140"/>
      <c r="J95" s="1140"/>
      <c r="K95" s="1139"/>
      <c r="L95" s="1140"/>
      <c r="M95" s="1169"/>
      <c r="N95" s="1169"/>
      <c r="O95" s="14"/>
      <c r="P95" s="13"/>
    </row>
    <row r="96" spans="1:16" ht="16.5" customHeight="1" thickBot="1" x14ac:dyDescent="0.3">
      <c r="A96" s="18"/>
      <c r="B96" s="1139" t="s">
        <v>2066</v>
      </c>
      <c r="C96" s="1140"/>
      <c r="D96" s="1140"/>
      <c r="E96" s="1140"/>
      <c r="F96" s="1111"/>
      <c r="G96" s="1139" t="s">
        <v>2271</v>
      </c>
      <c r="H96" s="1140"/>
      <c r="I96" s="1140"/>
      <c r="J96" s="1140"/>
      <c r="K96" s="1139"/>
      <c r="L96" s="1140"/>
      <c r="M96" s="1169"/>
      <c r="N96" s="1169"/>
      <c r="O96" s="14"/>
      <c r="P96" s="13"/>
    </row>
    <row r="97" spans="1:16" ht="16.5" customHeight="1" thickBot="1" x14ac:dyDescent="0.3">
      <c r="A97" s="18"/>
      <c r="B97" s="1139" t="s">
        <v>2067</v>
      </c>
      <c r="C97" s="1140"/>
      <c r="D97" s="1140"/>
      <c r="E97" s="1140"/>
      <c r="F97" s="1111"/>
      <c r="G97" s="1139" t="s">
        <v>2272</v>
      </c>
      <c r="H97" s="1140"/>
      <c r="I97" s="1140"/>
      <c r="J97" s="1140"/>
      <c r="K97" s="1139"/>
      <c r="L97" s="1140"/>
      <c r="M97" s="1169"/>
      <c r="N97" s="1169"/>
      <c r="O97" s="14"/>
      <c r="P97" s="13"/>
    </row>
    <row r="98" spans="1:16" ht="16.5" customHeight="1" thickBot="1" x14ac:dyDescent="0.3">
      <c r="A98" s="18"/>
      <c r="B98" s="1139" t="s">
        <v>2068</v>
      </c>
      <c r="C98" s="1140"/>
      <c r="D98" s="1140"/>
      <c r="E98" s="1140"/>
      <c r="F98" s="1111"/>
      <c r="G98" s="1139" t="s">
        <v>2273</v>
      </c>
      <c r="H98" s="1140"/>
      <c r="I98" s="1140"/>
      <c r="J98" s="1140"/>
      <c r="K98" s="1139"/>
      <c r="L98" s="1140"/>
      <c r="M98" s="1169"/>
      <c r="N98" s="1169"/>
      <c r="O98" s="14"/>
      <c r="P98" s="13"/>
    </row>
    <row r="99" spans="1:16" ht="16.5" customHeight="1" thickBot="1" x14ac:dyDescent="0.3">
      <c r="A99" s="18"/>
      <c r="B99" s="1139" t="s">
        <v>2274</v>
      </c>
      <c r="C99" s="1140"/>
      <c r="D99" s="1140"/>
      <c r="E99" s="1140"/>
      <c r="F99" s="1111"/>
      <c r="G99" s="1139" t="s">
        <v>2275</v>
      </c>
      <c r="H99" s="1140"/>
      <c r="I99" s="1140"/>
      <c r="J99" s="1140"/>
      <c r="K99" s="1139"/>
      <c r="L99" s="1140"/>
      <c r="M99" s="1169"/>
      <c r="N99" s="1169"/>
      <c r="O99" s="14"/>
      <c r="P99" s="13"/>
    </row>
    <row r="100" spans="1:16" ht="16.5" customHeight="1" x14ac:dyDescent="0.25">
      <c r="A100" s="18"/>
      <c r="B100" s="1139" t="s">
        <v>2276</v>
      </c>
      <c r="C100" s="1140"/>
      <c r="D100" s="1140"/>
      <c r="E100" s="1140"/>
      <c r="F100" s="1111"/>
      <c r="G100" s="1139" t="s">
        <v>2070</v>
      </c>
      <c r="H100" s="1140"/>
      <c r="I100" s="1140"/>
      <c r="J100" s="1140"/>
      <c r="K100" s="1139"/>
      <c r="L100" s="1140"/>
      <c r="M100" s="14"/>
      <c r="N100" s="14"/>
      <c r="O100" s="14"/>
      <c r="P100" s="13"/>
    </row>
    <row r="101" spans="1:16" ht="16.5" customHeight="1" x14ac:dyDescent="0.25">
      <c r="A101" s="18"/>
      <c r="B101" s="1139" t="s">
        <v>2069</v>
      </c>
      <c r="C101" s="1140"/>
      <c r="D101" s="1140"/>
      <c r="E101" s="1140"/>
      <c r="F101" s="1111"/>
      <c r="G101" s="1139" t="s">
        <v>2071</v>
      </c>
      <c r="H101" s="1140"/>
      <c r="I101" s="1140"/>
      <c r="J101" s="1140"/>
      <c r="K101" s="1139"/>
      <c r="L101" s="1140"/>
      <c r="M101" s="14"/>
      <c r="N101" s="14"/>
      <c r="O101" s="14"/>
      <c r="P101" s="13"/>
    </row>
    <row r="102" spans="1:16" ht="16.5" customHeight="1" x14ac:dyDescent="0.25">
      <c r="A102" s="18"/>
      <c r="B102" s="1139" t="s">
        <v>2277</v>
      </c>
      <c r="C102" s="1140"/>
      <c r="D102" s="1140"/>
      <c r="E102" s="1140"/>
      <c r="F102" s="1111"/>
      <c r="G102" s="1139" t="s">
        <v>2278</v>
      </c>
      <c r="H102" s="1140"/>
      <c r="I102" s="1140"/>
      <c r="J102" s="1140"/>
      <c r="K102" s="1139"/>
      <c r="L102" s="1140"/>
      <c r="M102" s="14"/>
      <c r="N102" s="14"/>
      <c r="O102" s="14"/>
      <c r="P102" s="13"/>
    </row>
    <row r="103" spans="1:16" ht="16.5" customHeight="1" x14ac:dyDescent="0.25">
      <c r="A103" s="18"/>
      <c r="B103" s="1139" t="s">
        <v>2279</v>
      </c>
      <c r="C103" s="1140"/>
      <c r="D103" s="1140"/>
      <c r="E103" s="1140"/>
      <c r="F103" s="1111"/>
      <c r="G103" s="1139" t="s">
        <v>2072</v>
      </c>
      <c r="H103" s="1140"/>
      <c r="I103" s="1140"/>
      <c r="J103" s="1140"/>
      <c r="K103" s="1139"/>
      <c r="L103" s="1140"/>
      <c r="M103" s="14"/>
      <c r="N103" s="14"/>
      <c r="O103" s="14"/>
      <c r="P103" s="13"/>
    </row>
    <row r="104" spans="1:16" ht="16.5" customHeight="1" x14ac:dyDescent="0.25">
      <c r="A104" s="18"/>
      <c r="B104" s="1139" t="s">
        <v>2112</v>
      </c>
      <c r="C104" s="1140"/>
      <c r="D104" s="1140"/>
      <c r="E104" s="1140"/>
      <c r="F104" s="1111"/>
      <c r="G104" s="1139" t="s">
        <v>2280</v>
      </c>
      <c r="H104" s="1140"/>
      <c r="I104" s="1140"/>
      <c r="J104" s="1140"/>
      <c r="K104" s="1139"/>
      <c r="L104" s="1140"/>
      <c r="M104" s="14"/>
      <c r="N104" s="14"/>
      <c r="O104" s="14"/>
      <c r="P104" s="13"/>
    </row>
    <row r="105" spans="1:16" ht="16.5" customHeight="1" x14ac:dyDescent="0.25">
      <c r="A105" s="18"/>
      <c r="B105" s="1139" t="s">
        <v>2073</v>
      </c>
      <c r="C105" s="1140"/>
      <c r="D105" s="1140"/>
      <c r="E105" s="1140"/>
      <c r="F105" s="1111"/>
      <c r="G105" s="1139" t="s">
        <v>2074</v>
      </c>
      <c r="H105" s="1140"/>
      <c r="I105" s="1140"/>
      <c r="J105" s="1140"/>
      <c r="K105" s="1139"/>
      <c r="L105" s="1140"/>
      <c r="M105" s="14"/>
      <c r="N105" s="14"/>
      <c r="O105" s="14"/>
      <c r="P105" s="13"/>
    </row>
    <row r="106" spans="1:16" ht="16.5" customHeight="1" x14ac:dyDescent="0.25">
      <c r="A106" s="18"/>
      <c r="B106" s="1139" t="s">
        <v>2281</v>
      </c>
      <c r="C106" s="1140"/>
      <c r="D106" s="1140"/>
      <c r="E106" s="1140"/>
      <c r="F106" s="1111"/>
      <c r="G106" s="1139" t="s">
        <v>2282</v>
      </c>
      <c r="H106" s="1140"/>
      <c r="I106" s="1140"/>
      <c r="J106" s="1140"/>
      <c r="K106" s="1139"/>
      <c r="L106" s="1140"/>
      <c r="M106" s="14"/>
      <c r="N106" s="14"/>
      <c r="O106" s="14"/>
      <c r="P106" s="13"/>
    </row>
    <row r="107" spans="1:16" ht="16.5" customHeight="1" x14ac:dyDescent="0.25">
      <c r="A107" s="18"/>
      <c r="B107" s="1139" t="s">
        <v>2075</v>
      </c>
      <c r="C107" s="1140"/>
      <c r="D107" s="1140"/>
      <c r="E107" s="1140"/>
      <c r="F107" s="1111"/>
      <c r="G107" s="1139" t="s">
        <v>2283</v>
      </c>
      <c r="H107" s="1140"/>
      <c r="I107" s="1140"/>
      <c r="J107" s="1140"/>
      <c r="K107" s="1139"/>
      <c r="L107" s="1140"/>
      <c r="M107" s="14"/>
      <c r="N107" s="14"/>
      <c r="O107" s="14"/>
      <c r="P107" s="13"/>
    </row>
    <row r="108" spans="1:16" ht="16.5" customHeight="1" x14ac:dyDescent="0.25">
      <c r="A108" s="18"/>
      <c r="B108" s="1139" t="s">
        <v>2076</v>
      </c>
      <c r="C108" s="1140"/>
      <c r="D108" s="1140"/>
      <c r="E108" s="1140"/>
      <c r="F108" s="1111"/>
      <c r="G108" s="1139" t="s">
        <v>2077</v>
      </c>
      <c r="H108" s="1140"/>
      <c r="I108" s="1140"/>
      <c r="J108" s="1140"/>
      <c r="K108" s="1139"/>
      <c r="L108" s="1140"/>
      <c r="M108" s="14"/>
      <c r="N108" s="14"/>
      <c r="O108" s="14"/>
      <c r="P108" s="13"/>
    </row>
    <row r="109" spans="1:16" ht="16.5" customHeight="1" x14ac:dyDescent="0.25">
      <c r="A109" s="18"/>
      <c r="B109" s="1139" t="s">
        <v>2078</v>
      </c>
      <c r="C109" s="1140"/>
      <c r="D109" s="1140"/>
      <c r="E109" s="1140"/>
      <c r="F109" s="1111"/>
      <c r="G109" s="1139" t="s">
        <v>2284</v>
      </c>
      <c r="H109" s="1140"/>
      <c r="I109" s="1140"/>
      <c r="J109" s="1140"/>
      <c r="K109" s="1139"/>
      <c r="L109" s="1140"/>
      <c r="M109" s="14"/>
      <c r="N109" s="14"/>
      <c r="O109" s="14"/>
      <c r="P109" s="13"/>
    </row>
    <row r="110" spans="1:16" ht="30" customHeight="1" x14ac:dyDescent="0.25">
      <c r="A110" s="18"/>
      <c r="B110" s="1206" t="s">
        <v>2285</v>
      </c>
      <c r="C110" s="1206"/>
      <c r="D110" s="1206"/>
      <c r="E110" s="1206"/>
      <c r="F110" s="1206"/>
      <c r="G110" s="1139" t="s">
        <v>2286</v>
      </c>
      <c r="H110" s="1140"/>
      <c r="I110" s="1140"/>
      <c r="J110" s="1140"/>
      <c r="K110" s="1139"/>
      <c r="L110" s="1140"/>
      <c r="M110" s="14"/>
      <c r="N110" s="14"/>
      <c r="O110" s="14"/>
      <c r="P110" s="13"/>
    </row>
    <row r="111" spans="1:16" ht="16.5" customHeight="1" thickBot="1" x14ac:dyDescent="0.3">
      <c r="A111" s="18"/>
      <c r="B111" s="1139" t="s">
        <v>2287</v>
      </c>
      <c r="C111" s="1140"/>
      <c r="D111" s="1140"/>
      <c r="E111" s="1140"/>
      <c r="F111" s="1139"/>
      <c r="G111" s="1139"/>
      <c r="H111" s="1140"/>
      <c r="I111" s="1140"/>
      <c r="J111" s="1140"/>
      <c r="K111" s="1139"/>
      <c r="L111" s="1140"/>
      <c r="M111" s="14"/>
      <c r="N111" s="14"/>
      <c r="O111" s="14"/>
      <c r="P111" s="13"/>
    </row>
    <row r="112" spans="1:16" ht="19.5" customHeight="1" thickBot="1" x14ac:dyDescent="0.3">
      <c r="A112" s="18"/>
      <c r="B112" s="18"/>
      <c r="C112" s="18"/>
      <c r="D112" s="18"/>
      <c r="E112" s="18"/>
      <c r="F112" s="18"/>
      <c r="G112" s="18"/>
      <c r="H112" s="18"/>
      <c r="I112" s="18"/>
      <c r="J112" s="18"/>
      <c r="K112" s="18"/>
      <c r="L112" s="1169"/>
      <c r="M112" s="1169"/>
      <c r="N112" s="1169"/>
      <c r="O112" s="14"/>
      <c r="P112" s="13"/>
    </row>
    <row r="113" spans="1:16" ht="15" hidden="1" customHeight="1" x14ac:dyDescent="0.25">
      <c r="A113" s="18"/>
      <c r="B113" s="1203"/>
      <c r="C113" s="1203"/>
      <c r="D113" s="1203"/>
      <c r="E113" s="1203"/>
      <c r="F113" s="1203"/>
      <c r="G113" s="1203"/>
      <c r="H113" s="1203"/>
      <c r="I113" s="1203"/>
      <c r="J113" s="1203"/>
      <c r="K113" s="1203"/>
      <c r="L113" s="1203"/>
      <c r="M113" s="1203"/>
      <c r="N113" s="1203"/>
      <c r="O113" s="14"/>
      <c r="P113" s="13"/>
    </row>
    <row r="114" spans="1:16" hidden="1" x14ac:dyDescent="0.25">
      <c r="A114" s="18"/>
      <c r="B114" s="18"/>
      <c r="C114" s="18"/>
      <c r="D114" s="18"/>
      <c r="E114" s="18"/>
      <c r="F114" s="18"/>
      <c r="G114" s="18"/>
      <c r="H114" s="18"/>
      <c r="I114" s="18"/>
      <c r="J114" s="18"/>
      <c r="K114" s="18"/>
      <c r="L114" s="14"/>
      <c r="M114" s="14"/>
      <c r="N114" s="14"/>
      <c r="O114" s="14"/>
      <c r="P114" s="13"/>
    </row>
    <row r="115" spans="1:16" hidden="1" x14ac:dyDescent="0.25">
      <c r="A115" s="18"/>
      <c r="B115" s="18"/>
      <c r="C115" s="18"/>
      <c r="D115" s="18"/>
      <c r="E115" s="18"/>
      <c r="F115" s="18"/>
      <c r="G115" s="18"/>
      <c r="H115" s="18"/>
      <c r="I115" s="18"/>
      <c r="J115" s="18"/>
      <c r="K115" s="18"/>
      <c r="L115" s="14"/>
      <c r="M115" s="14"/>
      <c r="N115" s="14"/>
      <c r="O115" s="14"/>
      <c r="P115" s="14"/>
    </row>
    <row r="116" spans="1:16" ht="12" hidden="1" customHeight="1" x14ac:dyDescent="0.25">
      <c r="A116" s="18"/>
      <c r="B116" s="18"/>
      <c r="C116" s="18"/>
      <c r="D116" s="18"/>
      <c r="E116" s="18"/>
      <c r="F116" s="18"/>
      <c r="G116" s="18"/>
      <c r="H116" s="18"/>
      <c r="I116" s="18"/>
      <c r="J116" s="18"/>
      <c r="K116" s="18"/>
      <c r="L116" s="14"/>
      <c r="M116" s="14"/>
      <c r="N116" s="14"/>
      <c r="O116" s="14"/>
      <c r="P116" s="14"/>
    </row>
    <row r="117" spans="1:16" hidden="1" x14ac:dyDescent="0.25">
      <c r="A117" s="18"/>
      <c r="B117" s="14"/>
      <c r="C117" s="14"/>
      <c r="D117" s="14"/>
      <c r="E117" s="14"/>
      <c r="F117" s="14"/>
      <c r="G117" s="14"/>
      <c r="H117" s="14"/>
      <c r="I117" s="14"/>
      <c r="J117" s="14"/>
      <c r="K117" s="14"/>
      <c r="L117" s="14"/>
      <c r="M117" s="14"/>
      <c r="N117" s="14"/>
      <c r="O117" s="14"/>
      <c r="P117" s="14"/>
    </row>
    <row r="118" spans="1:16" hidden="1" x14ac:dyDescent="0.25">
      <c r="A118" s="18"/>
      <c r="B118" s="14"/>
      <c r="C118" s="14"/>
      <c r="D118" s="14"/>
      <c r="E118" s="14"/>
      <c r="F118" s="14"/>
      <c r="G118" s="14"/>
      <c r="H118" s="14"/>
      <c r="I118" s="14"/>
      <c r="J118" s="14"/>
      <c r="K118" s="14"/>
      <c r="L118" s="14"/>
      <c r="M118" s="14"/>
      <c r="N118" s="14"/>
      <c r="O118" s="14"/>
      <c r="P118" s="14"/>
    </row>
    <row r="119" spans="1:16" hidden="1" x14ac:dyDescent="0.25">
      <c r="A119" s="18"/>
      <c r="B119" s="14"/>
      <c r="C119" s="14"/>
      <c r="D119" s="14"/>
      <c r="E119" s="14"/>
      <c r="F119" s="14"/>
      <c r="G119" s="14"/>
      <c r="H119" s="14"/>
      <c r="I119" s="14"/>
      <c r="J119" s="14"/>
      <c r="K119" s="14"/>
      <c r="L119" s="14"/>
      <c r="M119" s="14"/>
      <c r="N119" s="14"/>
      <c r="O119" s="14"/>
      <c r="P119" s="14"/>
    </row>
    <row r="120" spans="1:16" hidden="1" x14ac:dyDescent="0.25">
      <c r="A120" s="18"/>
      <c r="B120" s="14"/>
      <c r="C120" s="14"/>
      <c r="D120" s="14"/>
      <c r="E120" s="14"/>
      <c r="F120" s="14"/>
      <c r="G120" s="14"/>
      <c r="H120" s="14"/>
      <c r="I120" s="14"/>
      <c r="J120" s="14"/>
      <c r="K120" s="14"/>
      <c r="L120" s="14"/>
      <c r="M120" s="14"/>
      <c r="N120" s="14"/>
      <c r="O120" s="14"/>
      <c r="P120" s="14"/>
    </row>
    <row r="121" spans="1:16" hidden="1" x14ac:dyDescent="0.25">
      <c r="A121" s="18"/>
      <c r="B121" s="14"/>
      <c r="C121" s="14"/>
      <c r="D121" s="14"/>
      <c r="E121" s="14"/>
      <c r="F121" s="14"/>
      <c r="G121" s="14"/>
      <c r="H121" s="14"/>
      <c r="I121" s="14"/>
      <c r="J121" s="14"/>
      <c r="K121" s="14"/>
      <c r="L121" s="14"/>
      <c r="M121" s="14"/>
      <c r="N121" s="14"/>
      <c r="O121" s="14"/>
      <c r="P121" s="14"/>
    </row>
    <row r="122" spans="1:16" hidden="1" x14ac:dyDescent="0.25">
      <c r="A122" s="18"/>
      <c r="B122" s="14"/>
      <c r="C122" s="14"/>
      <c r="D122" s="14"/>
      <c r="E122" s="14"/>
      <c r="F122" s="14"/>
      <c r="G122" s="14"/>
      <c r="H122" s="14"/>
      <c r="I122" s="14"/>
      <c r="J122" s="14"/>
      <c r="K122" s="14"/>
      <c r="L122" s="14"/>
      <c r="M122" s="14"/>
      <c r="N122" s="14"/>
      <c r="O122" s="14"/>
      <c r="P122" s="14"/>
    </row>
    <row r="123" spans="1:16" hidden="1" x14ac:dyDescent="0.25"/>
    <row r="124" spans="1:16" hidden="1" x14ac:dyDescent="0.25"/>
    <row r="125" spans="1:16" hidden="1" x14ac:dyDescent="0.25"/>
    <row r="126" spans="1:16" hidden="1" x14ac:dyDescent="0.25"/>
    <row r="127" spans="1:16" hidden="1" x14ac:dyDescent="0.25"/>
    <row r="128" spans="1:16" ht="15" hidden="1" customHeight="1" x14ac:dyDescent="0.25"/>
    <row r="129" ht="15" hidden="1" customHeight="1" x14ac:dyDescent="0.25"/>
    <row r="130" ht="15" hidden="1" customHeight="1" x14ac:dyDescent="0.25"/>
    <row r="131" ht="10.5" hidden="1" customHeight="1" x14ac:dyDescent="0.25"/>
    <row r="132" ht="10.5" hidden="1" customHeight="1" x14ac:dyDescent="0.25"/>
    <row r="133" ht="15" hidden="1" customHeight="1" x14ac:dyDescent="0.25"/>
    <row r="134" ht="12"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6.5" hidden="1" customHeight="1" x14ac:dyDescent="0.25"/>
    <row r="153" ht="16.5" hidden="1" customHeight="1" x14ac:dyDescent="0.25"/>
    <row r="154" ht="16.5" hidden="1" customHeight="1" x14ac:dyDescent="0.25"/>
    <row r="155" ht="16.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2" hidden="1" customHeight="1" x14ac:dyDescent="0.25"/>
    <row r="180" ht="16.5" hidden="1" customHeight="1" x14ac:dyDescent="0.25"/>
    <row r="181" ht="16.5" hidden="1" customHeight="1" x14ac:dyDescent="0.25"/>
    <row r="182" ht="16.5" hidden="1" customHeight="1" x14ac:dyDescent="0.25"/>
    <row r="183" ht="16.5" hidden="1" customHeight="1" x14ac:dyDescent="0.25"/>
    <row r="184" ht="16.5" hidden="1" customHeight="1" x14ac:dyDescent="0.25"/>
    <row r="185" ht="16.5" hidden="1" customHeight="1" x14ac:dyDescent="0.25"/>
    <row r="186" ht="16.5" hidden="1" customHeight="1" x14ac:dyDescent="0.25"/>
    <row r="187" ht="16.5" hidden="1" customHeight="1" x14ac:dyDescent="0.25"/>
    <row r="188" ht="16.5" hidden="1" customHeight="1" x14ac:dyDescent="0.25"/>
    <row r="189" ht="16.5" hidden="1" customHeight="1" x14ac:dyDescent="0.25"/>
    <row r="190" ht="16.5" hidden="1" customHeight="1" x14ac:dyDescent="0.25"/>
    <row r="191" ht="16.5" hidden="1" customHeight="1" x14ac:dyDescent="0.25"/>
    <row r="192" ht="16.5" hidden="1" customHeight="1" x14ac:dyDescent="0.25"/>
    <row r="193" ht="16.5" hidden="1" customHeight="1" x14ac:dyDescent="0.25"/>
    <row r="194" ht="16.5" hidden="1" customHeight="1" x14ac:dyDescent="0.25"/>
    <row r="195" ht="16.5" hidden="1" customHeight="1" x14ac:dyDescent="0.25"/>
    <row r="196" ht="16.5" hidden="1" customHeight="1" x14ac:dyDescent="0.25"/>
    <row r="197" ht="30" hidden="1" customHeight="1" x14ac:dyDescent="0.25"/>
    <row r="198" ht="16.5" hidden="1" customHeight="1" x14ac:dyDescent="0.25"/>
    <row r="199" ht="12"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sheetData>
  <sheetProtection algorithmName="SHA-512" hashValue="B5HZknpWW9XcBLgGW93VuVZeVzfs+eTHR3VXqtl8hLHkIbBMXifvnajCeo/9fRolsH1cW7W8aSqk89gKcGw3xA==" saltValue="8k19amFsi1bNH6jhVHqmHw==" spinCount="100000" sheet="1" objects="1" scenarios="1" selectLockedCells="1"/>
  <mergeCells count="15">
    <mergeCell ref="A1:O1"/>
    <mergeCell ref="A11:D11"/>
    <mergeCell ref="B9:N9"/>
    <mergeCell ref="B20:N20"/>
    <mergeCell ref="B22:N22"/>
    <mergeCell ref="B113:N113"/>
    <mergeCell ref="A3:D3"/>
    <mergeCell ref="B5:N5"/>
    <mergeCell ref="B6:N6"/>
    <mergeCell ref="B7:N7"/>
    <mergeCell ref="B8:N8"/>
    <mergeCell ref="A24:D24"/>
    <mergeCell ref="B80:B81"/>
    <mergeCell ref="B110:F110"/>
    <mergeCell ref="B26:N26"/>
  </mergeCells>
  <hyperlinks>
    <hyperlink ref="B104" r:id="rId1" display="OUT-2 Design"/>
    <hyperlink ref="G105" r:id="rId2" display="Quoc Viet Technology JSC"/>
    <hyperlink ref="G104" r:id="rId3"/>
    <hyperlink ref="B102" r:id="rId4" display="Lap Nguyen Corporation"/>
    <hyperlink ref="G102" r:id="rId5" display="NAMA Consulting Architecture Construction Investment., JSC."/>
    <hyperlink ref="G99" r:id="rId6"/>
    <hyperlink ref="G101" r:id="rId7"/>
    <hyperlink ref="G103" r:id="rId8"/>
    <hyperlink ref="B103" r:id="rId9"/>
    <hyperlink ref="G100" r:id="rId10" display="Hoang Tam Architecture &amp; Interior "/>
    <hyperlink ref="G97" r:id="rId11"/>
    <hyperlink ref="G98" r:id="rId12" display="Dragon Capital"/>
    <hyperlink ref="G105:L105" r:id="rId13" display="RCR infrastructure Vietnam "/>
    <hyperlink ref="G104:L104" r:id="rId14" display="Phu Qui B.D.Q"/>
    <hyperlink ref="B104:E104" r:id="rId15" display="PALM Landscape"/>
    <hyperlink ref="G102:L102" r:id="rId16" display="New Era Block Tile JSC"/>
    <hyperlink ref="B102:E102" r:id="rId17" display="NAMA Consulting Architecture Construction Investment., JSC."/>
    <hyperlink ref="G94" r:id="rId18"/>
    <hyperlink ref="B95" r:id="rId19"/>
    <hyperlink ref="G95" r:id="rId20"/>
    <hyperlink ref="B96" r:id="rId21"/>
    <hyperlink ref="G96" r:id="rId22" display="http://www.cc1mekong.com/"/>
    <hyperlink ref="B97" r:id="rId23"/>
    <hyperlink ref="B98" r:id="rId24"/>
    <hyperlink ref="B100" r:id="rId25"/>
    <hyperlink ref="B107" r:id="rId26"/>
    <hyperlink ref="G107" r:id="rId27"/>
    <hyperlink ref="B93" r:id="rId28"/>
    <hyperlink ref="B108" r:id="rId29"/>
    <hyperlink ref="G108" r:id="rId30"/>
    <hyperlink ref="G109" r:id="rId31"/>
    <hyperlink ref="B109" r:id="rId32"/>
    <hyperlink ref="G110" r:id="rId33"/>
    <hyperlink ref="B111" r:id="rId34"/>
    <hyperlink ref="B110:F110" r:id="rId35" display="Vietnam Investment Consulting and Construction Designing JSC "/>
    <hyperlink ref="B105" r:id="rId36"/>
    <hyperlink ref="B106" r:id="rId37"/>
  </hyperlinks>
  <pageMargins left="0.7" right="0.7" top="0.75" bottom="0.75" header="0.3" footer="0.3"/>
  <drawing r:id="rId3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58B527"/>
  </sheetPr>
  <dimension ref="A1:O109"/>
  <sheetViews>
    <sheetView showRowColHeaders="0" workbookViewId="0">
      <pane ySplit="7" topLeftCell="A67" activePane="bottomLeft" state="frozen"/>
      <selection activeCell="E9" sqref="E9:F9"/>
      <selection pane="bottomLeft" activeCell="L3" sqref="L3"/>
    </sheetView>
  </sheetViews>
  <sheetFormatPr defaultColWidth="0" defaultRowHeight="15" customHeight="1" zeroHeight="1" x14ac:dyDescent="0.25"/>
  <cols>
    <col min="1" max="1" width="4.5703125" style="42" customWidth="1"/>
    <col min="2" max="4" width="20.7109375" style="42" customWidth="1"/>
    <col min="5" max="5" width="21.85546875" style="42" customWidth="1"/>
    <col min="6" max="6" width="20.7109375" style="42" customWidth="1"/>
    <col min="7" max="7" width="17.5703125" style="42" customWidth="1"/>
    <col min="8" max="8" width="21.28515625" style="42" customWidth="1"/>
    <col min="9" max="9" width="6.7109375" style="42" customWidth="1"/>
    <col min="10" max="12" width="7.85546875" style="42" customWidth="1"/>
    <col min="13" max="13" width="9.140625" style="42" hidden="1" customWidth="1"/>
    <col min="14" max="14" width="35.28515625" style="42" hidden="1" customWidth="1"/>
    <col min="15" max="16384" width="9.140625" style="42" hidden="1"/>
  </cols>
  <sheetData>
    <row r="1" spans="1:15" ht="25.5" customHeight="1" x14ac:dyDescent="0.25">
      <c r="A1" s="1413" t="s">
        <v>624</v>
      </c>
      <c r="B1" s="1413"/>
      <c r="C1" s="1413"/>
      <c r="D1" s="1413"/>
      <c r="E1" s="1413"/>
      <c r="F1" s="1413"/>
      <c r="G1" s="1413"/>
      <c r="H1" s="1413"/>
      <c r="I1" s="1413"/>
      <c r="J1" s="1413"/>
      <c r="K1" s="1413"/>
      <c r="L1" s="1413"/>
      <c r="M1" s="210"/>
    </row>
    <row r="2" spans="1:15" ht="15" customHeight="1" x14ac:dyDescent="0.25">
      <c r="A2" s="54"/>
      <c r="B2" s="54"/>
      <c r="C2" s="54"/>
      <c r="D2" s="54"/>
      <c r="E2" s="54"/>
      <c r="F2" s="53"/>
      <c r="G2" s="53"/>
      <c r="H2" s="1652" t="s">
        <v>544</v>
      </c>
      <c r="I2" s="1652"/>
      <c r="J2" s="239" t="s">
        <v>62</v>
      </c>
      <c r="K2" s="239" t="s">
        <v>73</v>
      </c>
      <c r="L2" s="239"/>
      <c r="M2" s="53"/>
    </row>
    <row r="3" spans="1:15" ht="15" customHeight="1" x14ac:dyDescent="0.25">
      <c r="A3" s="54"/>
      <c r="B3" s="54"/>
      <c r="C3" s="54"/>
      <c r="D3" s="54"/>
      <c r="E3" s="54"/>
      <c r="F3" s="53"/>
      <c r="G3" s="53"/>
      <c r="H3" s="1652"/>
      <c r="I3" s="1652"/>
      <c r="J3" s="239" t="s">
        <v>66</v>
      </c>
      <c r="K3" s="239" t="s">
        <v>77</v>
      </c>
      <c r="L3" s="239" t="s">
        <v>102</v>
      </c>
      <c r="M3" s="53"/>
    </row>
    <row r="4" spans="1:15" ht="15" customHeight="1" x14ac:dyDescent="0.25">
      <c r="A4" s="54"/>
      <c r="B4" s="54"/>
      <c r="C4" s="54"/>
      <c r="D4" s="54"/>
      <c r="E4" s="54"/>
      <c r="F4" s="53"/>
      <c r="G4" s="53"/>
      <c r="H4" s="1427"/>
      <c r="I4" s="1427"/>
      <c r="J4" s="239" t="s">
        <v>70</v>
      </c>
      <c r="K4" s="239" t="s">
        <v>81</v>
      </c>
      <c r="L4" s="240"/>
      <c r="M4" s="53"/>
    </row>
    <row r="5" spans="1:15" ht="18" customHeight="1" x14ac:dyDescent="0.25">
      <c r="A5" s="1417" t="s">
        <v>2204</v>
      </c>
      <c r="B5" s="1418"/>
      <c r="C5" s="1418"/>
      <c r="D5" s="1418"/>
      <c r="E5" s="1418"/>
      <c r="F5" s="1418"/>
      <c r="G5" s="1418"/>
      <c r="H5" s="1418"/>
      <c r="I5" s="1418"/>
      <c r="J5" s="1418"/>
      <c r="K5" s="1418"/>
      <c r="L5" s="1418"/>
      <c r="M5" s="1419"/>
    </row>
    <row r="6" spans="1:15" ht="18" customHeight="1" x14ac:dyDescent="0.25">
      <c r="A6" s="1423"/>
      <c r="B6" s="1424"/>
      <c r="C6" s="1424"/>
      <c r="D6" s="1424"/>
      <c r="E6" s="1424"/>
      <c r="F6" s="1424"/>
      <c r="G6" s="1424"/>
      <c r="H6" s="1424"/>
      <c r="I6" s="1424"/>
      <c r="J6" s="1424"/>
      <c r="K6" s="1424"/>
      <c r="L6" s="1424"/>
      <c r="M6" s="1425"/>
      <c r="N6" s="53"/>
      <c r="O6" s="53"/>
    </row>
    <row r="7" spans="1:15" ht="9" customHeight="1" x14ac:dyDescent="0.25">
      <c r="A7" s="53"/>
      <c r="B7" s="54"/>
      <c r="C7" s="54"/>
      <c r="D7" s="54"/>
      <c r="E7" s="54"/>
      <c r="F7" s="53"/>
      <c r="G7" s="53"/>
      <c r="H7" s="53"/>
      <c r="I7" s="53"/>
      <c r="J7" s="53"/>
      <c r="K7" s="53"/>
      <c r="L7" s="53"/>
      <c r="M7" s="53"/>
      <c r="N7" s="53"/>
    </row>
    <row r="8" spans="1:15" ht="18" customHeight="1" x14ac:dyDescent="0.25">
      <c r="A8" s="1432" t="s">
        <v>626</v>
      </c>
      <c r="B8" s="1432"/>
      <c r="C8" s="1432"/>
      <c r="D8" s="1432"/>
      <c r="E8" s="1432"/>
      <c r="F8" s="1432"/>
      <c r="G8" s="1432"/>
      <c r="H8" s="1432"/>
      <c r="I8" s="1432"/>
      <c r="J8" s="1432"/>
      <c r="K8" s="1432"/>
      <c r="L8" s="1432"/>
      <c r="M8" s="97"/>
    </row>
    <row r="9" spans="1:15" ht="16.5" customHeight="1" x14ac:dyDescent="0.25">
      <c r="A9" s="53"/>
      <c r="B9" s="54"/>
      <c r="C9" s="54"/>
      <c r="D9" s="54"/>
      <c r="E9" s="54"/>
      <c r="F9" s="53"/>
      <c r="G9" s="53"/>
      <c r="H9" s="53"/>
      <c r="I9" s="53"/>
      <c r="J9" s="53"/>
      <c r="K9" s="53"/>
      <c r="L9" s="53"/>
      <c r="M9" s="53"/>
    </row>
    <row r="10" spans="1:15" ht="19.5" customHeight="1" x14ac:dyDescent="0.25">
      <c r="A10" s="53"/>
      <c r="B10" s="1646" t="s">
        <v>192</v>
      </c>
      <c r="C10" s="1647"/>
      <c r="D10" s="1647"/>
      <c r="E10" s="1647"/>
      <c r="F10" s="485" t="s">
        <v>157</v>
      </c>
      <c r="G10" s="485" t="s">
        <v>56</v>
      </c>
      <c r="H10" s="98" t="s">
        <v>521</v>
      </c>
      <c r="I10" s="53"/>
      <c r="J10" s="53"/>
      <c r="K10" s="53"/>
      <c r="L10" s="53"/>
      <c r="M10" s="53"/>
    </row>
    <row r="11" spans="1:15" ht="30" customHeight="1" x14ac:dyDescent="0.25">
      <c r="A11" s="53"/>
      <c r="B11" s="1648" t="s">
        <v>625</v>
      </c>
      <c r="C11" s="1649"/>
      <c r="D11" s="1649"/>
      <c r="E11" s="1650"/>
      <c r="F11" s="298">
        <v>1</v>
      </c>
      <c r="G11" s="298">
        <f>C38</f>
        <v>0</v>
      </c>
      <c r="H11" s="298" t="str">
        <f>C39</f>
        <v>No</v>
      </c>
      <c r="I11" s="53"/>
      <c r="J11" s="53"/>
      <c r="K11" s="53"/>
      <c r="L11" s="53"/>
      <c r="M11" s="53"/>
    </row>
    <row r="12" spans="1:15" ht="54" customHeight="1" x14ac:dyDescent="0.25">
      <c r="A12" s="53"/>
      <c r="B12" s="1648" t="s">
        <v>1948</v>
      </c>
      <c r="C12" s="1649"/>
      <c r="D12" s="1649"/>
      <c r="E12" s="1650"/>
      <c r="F12" s="298">
        <v>3</v>
      </c>
      <c r="G12" s="298">
        <f>C64</f>
        <v>0</v>
      </c>
      <c r="H12" s="298" t="str">
        <f>C65</f>
        <v>No</v>
      </c>
      <c r="I12" s="53"/>
      <c r="J12" s="53"/>
      <c r="K12" s="53"/>
      <c r="L12" s="53"/>
      <c r="M12" s="53"/>
    </row>
    <row r="13" spans="1:15" ht="30" customHeight="1" x14ac:dyDescent="0.25">
      <c r="A13" s="53"/>
      <c r="B13" s="1648" t="s">
        <v>627</v>
      </c>
      <c r="C13" s="1649"/>
      <c r="D13" s="1649"/>
      <c r="E13" s="1650"/>
      <c r="F13" s="298">
        <v>1</v>
      </c>
      <c r="G13" s="298">
        <f>C95</f>
        <v>0</v>
      </c>
      <c r="H13" s="298" t="str">
        <f>C96</f>
        <v>No</v>
      </c>
      <c r="I13" s="53"/>
      <c r="J13" s="53"/>
      <c r="K13" s="53"/>
      <c r="L13" s="53"/>
      <c r="M13" s="53"/>
    </row>
    <row r="14" spans="1:15" ht="16.5" customHeight="1" x14ac:dyDescent="0.25">
      <c r="A14" s="54"/>
      <c r="B14" s="54"/>
      <c r="C14" s="54"/>
      <c r="D14" s="54"/>
      <c r="E14" s="54"/>
      <c r="F14" s="53"/>
      <c r="G14" s="53"/>
      <c r="H14" s="53"/>
      <c r="I14" s="53"/>
      <c r="J14" s="53"/>
      <c r="K14" s="53"/>
      <c r="L14" s="53"/>
      <c r="M14" s="53"/>
    </row>
    <row r="15" spans="1:15" ht="18" customHeight="1" x14ac:dyDescent="0.25">
      <c r="A15" s="1432" t="s">
        <v>628</v>
      </c>
      <c r="B15" s="1432"/>
      <c r="C15" s="1432"/>
      <c r="D15" s="1432"/>
      <c r="E15" s="1432"/>
      <c r="F15" s="1432"/>
      <c r="G15" s="1432"/>
      <c r="H15" s="1432"/>
      <c r="I15" s="1432"/>
      <c r="J15" s="1432"/>
      <c r="K15" s="1432"/>
      <c r="L15" s="1432"/>
      <c r="M15" s="97"/>
    </row>
    <row r="16" spans="1:15" x14ac:dyDescent="0.25">
      <c r="A16" s="54"/>
      <c r="B16" s="54"/>
      <c r="C16" s="54"/>
      <c r="D16" s="54"/>
      <c r="E16" s="54"/>
      <c r="F16" s="54"/>
      <c r="G16" s="54"/>
      <c r="H16" s="54"/>
      <c r="I16" s="54"/>
      <c r="J16" s="54"/>
      <c r="K16" s="54"/>
      <c r="L16" s="54"/>
      <c r="M16" s="54"/>
    </row>
    <row r="17" spans="1:14" ht="16.5" customHeight="1" x14ac:dyDescent="0.25">
      <c r="A17" s="1410" t="s">
        <v>265</v>
      </c>
      <c r="B17" s="1410"/>
      <c r="C17" s="1410"/>
      <c r="D17" s="54"/>
      <c r="E17" s="54"/>
      <c r="F17" s="54"/>
      <c r="G17" s="54"/>
      <c r="H17" s="54"/>
      <c r="I17" s="54"/>
      <c r="J17" s="54"/>
      <c r="K17" s="54"/>
      <c r="L17" s="54"/>
      <c r="M17" s="97"/>
    </row>
    <row r="18" spans="1:14" ht="15" customHeight="1" x14ac:dyDescent="0.25">
      <c r="A18" s="54"/>
      <c r="B18" s="54"/>
      <c r="C18" s="54"/>
      <c r="D18" s="54"/>
      <c r="E18" s="54"/>
      <c r="F18" s="54"/>
      <c r="G18" s="54"/>
      <c r="H18" s="54"/>
      <c r="I18" s="54"/>
      <c r="J18" s="54"/>
      <c r="K18" s="54"/>
      <c r="L18" s="54"/>
      <c r="M18" s="54"/>
      <c r="N18" s="42" t="b">
        <v>0</v>
      </c>
    </row>
    <row r="19" spans="1:14" ht="15" customHeight="1" x14ac:dyDescent="0.25">
      <c r="A19" s="54"/>
      <c r="B19" s="649" t="s">
        <v>1481</v>
      </c>
      <c r="C19" s="54"/>
      <c r="D19" s="54"/>
      <c r="E19" s="54"/>
      <c r="F19" s="54"/>
      <c r="G19" s="54"/>
      <c r="H19" s="54"/>
      <c r="I19" s="54"/>
      <c r="J19" s="54"/>
      <c r="K19" s="54"/>
      <c r="L19" s="54"/>
      <c r="M19" s="54"/>
    </row>
    <row r="20" spans="1:14" ht="15" customHeight="1" x14ac:dyDescent="0.25">
      <c r="A20" s="54"/>
      <c r="B20" s="54"/>
      <c r="C20" s="54"/>
      <c r="D20" s="54"/>
      <c r="E20" s="54"/>
      <c r="F20" s="54"/>
      <c r="G20" s="54"/>
      <c r="H20" s="54"/>
      <c r="I20" s="54"/>
      <c r="J20" s="54"/>
      <c r="K20" s="54"/>
      <c r="L20" s="54"/>
      <c r="M20" s="54"/>
    </row>
    <row r="21" spans="1:14" ht="15" customHeight="1" x14ac:dyDescent="0.25">
      <c r="A21" s="54"/>
      <c r="B21" s="1642" t="s">
        <v>1482</v>
      </c>
      <c r="C21" s="1642"/>
      <c r="D21" s="1642"/>
      <c r="E21" s="1642"/>
      <c r="F21" s="1642"/>
      <c r="G21" s="1642"/>
      <c r="H21" s="1642"/>
      <c r="I21" s="54"/>
      <c r="J21" s="54"/>
      <c r="K21" s="54"/>
      <c r="L21" s="54"/>
      <c r="M21" s="54"/>
    </row>
    <row r="22" spans="1:14" ht="15" customHeight="1" x14ac:dyDescent="0.25">
      <c r="A22" s="54"/>
      <c r="B22" s="1642"/>
      <c r="C22" s="1642"/>
      <c r="D22" s="1642"/>
      <c r="E22" s="1642"/>
      <c r="F22" s="1642"/>
      <c r="G22" s="1642"/>
      <c r="H22" s="1642"/>
      <c r="I22" s="54"/>
      <c r="J22" s="54"/>
      <c r="K22" s="54"/>
      <c r="L22" s="54"/>
      <c r="M22" s="54"/>
    </row>
    <row r="23" spans="1:14" ht="15" customHeight="1" x14ac:dyDescent="0.25">
      <c r="A23" s="54"/>
      <c r="B23" s="54"/>
      <c r="C23" s="54"/>
      <c r="D23" s="54"/>
      <c r="E23" s="54"/>
      <c r="F23" s="54"/>
      <c r="G23" s="54"/>
      <c r="H23" s="54"/>
      <c r="I23" s="54"/>
      <c r="J23" s="54"/>
      <c r="K23" s="54"/>
      <c r="L23" s="54"/>
      <c r="M23" s="54"/>
    </row>
    <row r="24" spans="1:14" ht="15" customHeight="1" x14ac:dyDescent="0.25">
      <c r="A24" s="54"/>
      <c r="B24" s="647" t="s">
        <v>1483</v>
      </c>
      <c r="C24" s="54"/>
      <c r="D24" s="54"/>
      <c r="E24" s="54"/>
      <c r="F24" s="54"/>
      <c r="G24" s="54"/>
      <c r="H24" s="54"/>
      <c r="I24" s="54"/>
      <c r="J24" s="54"/>
      <c r="K24" s="54"/>
      <c r="L24" s="54"/>
      <c r="M24" s="54"/>
    </row>
    <row r="25" spans="1:14" ht="12" customHeight="1" x14ac:dyDescent="0.25">
      <c r="A25" s="54"/>
      <c r="B25" s="54"/>
      <c r="C25" s="54"/>
      <c r="D25" s="54"/>
      <c r="E25" s="54"/>
      <c r="F25" s="54"/>
      <c r="G25" s="54"/>
      <c r="H25" s="54"/>
      <c r="I25" s="54"/>
      <c r="J25" s="54"/>
      <c r="K25" s="54"/>
      <c r="L25" s="54"/>
      <c r="M25" s="54"/>
    </row>
    <row r="26" spans="1:14" ht="18" customHeight="1" x14ac:dyDescent="0.25">
      <c r="A26" s="54"/>
      <c r="B26" s="1651" t="s">
        <v>1950</v>
      </c>
      <c r="C26" s="1444"/>
      <c r="D26" s="217"/>
      <c r="E26" s="54"/>
      <c r="F26" s="54"/>
      <c r="G26" s="54"/>
      <c r="H26" s="54"/>
      <c r="I26" s="54"/>
      <c r="J26" s="54"/>
      <c r="K26" s="54"/>
      <c r="L26" s="54"/>
      <c r="M26" s="54"/>
    </row>
    <row r="27" spans="1:14" ht="18" customHeight="1" x14ac:dyDescent="0.25">
      <c r="A27" s="54"/>
      <c r="B27" s="1651" t="s">
        <v>1949</v>
      </c>
      <c r="C27" s="1444"/>
      <c r="D27" s="217"/>
      <c r="E27" s="54"/>
      <c r="F27" s="54"/>
      <c r="G27" s="54"/>
      <c r="H27" s="54"/>
      <c r="I27" s="54"/>
      <c r="J27" s="54"/>
      <c r="K27" s="54"/>
      <c r="L27" s="54"/>
      <c r="M27" s="54"/>
    </row>
    <row r="28" spans="1:14" ht="15" customHeight="1" x14ac:dyDescent="0.25">
      <c r="A28" s="54"/>
      <c r="B28" s="54"/>
      <c r="C28" s="54"/>
      <c r="D28" s="54"/>
      <c r="E28" s="54"/>
      <c r="F28" s="54"/>
      <c r="G28" s="54"/>
      <c r="H28" s="54"/>
      <c r="I28" s="54"/>
      <c r="J28" s="54"/>
      <c r="K28" s="54"/>
      <c r="L28" s="54"/>
      <c r="M28" s="54"/>
    </row>
    <row r="29" spans="1:14" ht="18" customHeight="1" x14ac:dyDescent="0.25">
      <c r="A29" s="54"/>
      <c r="B29" s="1494" t="s">
        <v>629</v>
      </c>
      <c r="C29" s="1494"/>
      <c r="D29" s="309">
        <f>IFERROR((D27-D26)/D27,0)</f>
        <v>0</v>
      </c>
      <c r="E29" s="54"/>
      <c r="F29" s="54"/>
      <c r="G29" s="54"/>
      <c r="H29" s="54"/>
      <c r="I29" s="54"/>
      <c r="J29" s="54"/>
      <c r="K29" s="54"/>
      <c r="L29" s="54"/>
      <c r="M29" s="54"/>
    </row>
    <row r="30" spans="1:14" ht="19.5" customHeight="1" x14ac:dyDescent="0.25">
      <c r="A30" s="54"/>
      <c r="B30" s="54"/>
      <c r="C30" s="54"/>
      <c r="D30" s="54"/>
      <c r="E30" s="54"/>
      <c r="F30" s="54"/>
      <c r="G30" s="54"/>
      <c r="H30" s="54"/>
      <c r="I30" s="54"/>
      <c r="J30" s="54"/>
      <c r="K30" s="54"/>
      <c r="L30" s="54"/>
      <c r="M30" s="54"/>
    </row>
    <row r="31" spans="1:14" ht="16.5" customHeight="1" x14ac:dyDescent="0.25">
      <c r="A31" s="1410" t="s">
        <v>200</v>
      </c>
      <c r="B31" s="1410"/>
      <c r="C31" s="1410"/>
      <c r="D31" s="54"/>
      <c r="E31" s="54"/>
      <c r="F31" s="54"/>
      <c r="G31" s="54"/>
      <c r="H31" s="54"/>
      <c r="I31" s="54"/>
      <c r="J31" s="54"/>
      <c r="K31" s="54"/>
      <c r="L31" s="54"/>
      <c r="M31" s="97"/>
    </row>
    <row r="32" spans="1:14" ht="12" customHeight="1" x14ac:dyDescent="0.25">
      <c r="A32" s="53"/>
      <c r="B32" s="54"/>
      <c r="C32" s="54"/>
      <c r="D32" s="54"/>
      <c r="E32" s="53"/>
      <c r="F32" s="53"/>
      <c r="G32" s="53"/>
      <c r="H32" s="53"/>
      <c r="I32" s="53"/>
      <c r="J32" s="53"/>
      <c r="K32" s="53"/>
      <c r="L32" s="53"/>
      <c r="M32" s="53"/>
    </row>
    <row r="33" spans="1:13" ht="18" customHeight="1" x14ac:dyDescent="0.25">
      <c r="A33" s="53"/>
      <c r="B33" s="1446" t="s">
        <v>2103</v>
      </c>
      <c r="C33" s="1447"/>
      <c r="D33" s="1447"/>
      <c r="E33" s="1447"/>
      <c r="F33" s="1447"/>
      <c r="G33" s="1045" t="s">
        <v>2101</v>
      </c>
      <c r="H33" s="1443" t="s">
        <v>2102</v>
      </c>
      <c r="I33" s="1444"/>
      <c r="J33" s="53"/>
      <c r="K33" s="53"/>
      <c r="L33" s="53"/>
      <c r="M33" s="53"/>
    </row>
    <row r="34" spans="1:13" ht="24" customHeight="1" x14ac:dyDescent="0.25">
      <c r="A34" s="53"/>
      <c r="B34" s="1436" t="s">
        <v>1864</v>
      </c>
      <c r="C34" s="1437"/>
      <c r="D34" s="1437"/>
      <c r="E34" s="1437"/>
      <c r="F34" s="1438"/>
      <c r="G34" s="518" t="s">
        <v>129</v>
      </c>
      <c r="H34" s="1441"/>
      <c r="I34" s="1442"/>
      <c r="J34" s="53"/>
      <c r="K34" s="53"/>
      <c r="L34" s="53"/>
      <c r="M34" s="53"/>
    </row>
    <row r="35" spans="1:13" ht="19.5" customHeight="1" x14ac:dyDescent="0.25">
      <c r="A35" s="53"/>
      <c r="B35" s="54"/>
      <c r="C35" s="54"/>
      <c r="D35" s="54"/>
      <c r="E35" s="53"/>
      <c r="F35" s="53"/>
      <c r="G35" s="53"/>
      <c r="H35" s="53"/>
      <c r="I35" s="53"/>
      <c r="J35" s="53"/>
      <c r="K35" s="53"/>
      <c r="L35" s="53"/>
      <c r="M35" s="53"/>
    </row>
    <row r="36" spans="1:13" ht="16.5" customHeight="1" x14ac:dyDescent="0.25">
      <c r="A36" s="1410" t="s">
        <v>25</v>
      </c>
      <c r="B36" s="1410"/>
      <c r="C36" s="1410"/>
      <c r="D36" s="54"/>
      <c r="E36" s="54"/>
      <c r="F36" s="54"/>
      <c r="G36" s="54"/>
      <c r="H36" s="54"/>
      <c r="I36" s="54"/>
      <c r="J36" s="54"/>
      <c r="K36" s="54"/>
      <c r="L36" s="54"/>
      <c r="M36" s="97"/>
    </row>
    <row r="37" spans="1:13" ht="15" customHeight="1" x14ac:dyDescent="0.25">
      <c r="A37" s="54"/>
      <c r="B37" s="54"/>
      <c r="C37" s="54"/>
      <c r="D37" s="54"/>
      <c r="E37" s="54"/>
      <c r="F37" s="54"/>
      <c r="G37" s="54"/>
      <c r="H37" s="54"/>
      <c r="I37" s="54"/>
      <c r="J37" s="54"/>
      <c r="K37" s="54"/>
      <c r="L37" s="54"/>
      <c r="M37" s="54"/>
    </row>
    <row r="38" spans="1:13" ht="18" customHeight="1" x14ac:dyDescent="0.25">
      <c r="A38" s="54"/>
      <c r="B38" s="192" t="s">
        <v>56</v>
      </c>
      <c r="C38" s="12">
        <f>IF(D29&gt;=0.4,1,0)</f>
        <v>0</v>
      </c>
      <c r="D38" s="54"/>
      <c r="E38" s="54"/>
      <c r="F38" s="54"/>
      <c r="G38" s="54"/>
      <c r="H38" s="54"/>
      <c r="I38" s="54"/>
      <c r="J38" s="54"/>
      <c r="K38" s="54"/>
      <c r="L38" s="54"/>
      <c r="M38" s="54"/>
    </row>
    <row r="39" spans="1:13" ht="18" customHeight="1" x14ac:dyDescent="0.25">
      <c r="A39" s="54"/>
      <c r="B39" s="192" t="s">
        <v>521</v>
      </c>
      <c r="C39" s="8" t="str">
        <f>IF(AND(COUNTIF(G34:G34,"Submitted")=1,C38&gt;0),"Yes","No")</f>
        <v>No</v>
      </c>
      <c r="D39" s="54"/>
      <c r="E39" s="54"/>
      <c r="F39" s="54"/>
      <c r="G39" s="54"/>
      <c r="H39" s="54"/>
      <c r="I39" s="54"/>
      <c r="J39" s="54"/>
      <c r="K39" s="54"/>
      <c r="L39" s="54"/>
      <c r="M39" s="54"/>
    </row>
    <row r="40" spans="1:13" ht="12" customHeight="1" x14ac:dyDescent="0.25">
      <c r="A40" s="54"/>
      <c r="B40" s="54"/>
      <c r="C40" s="54"/>
      <c r="D40" s="54"/>
      <c r="E40" s="54"/>
      <c r="F40" s="54"/>
      <c r="G40" s="54"/>
      <c r="H40" s="54"/>
      <c r="I40" s="54"/>
      <c r="J40" s="54"/>
      <c r="K40" s="54"/>
      <c r="L40" s="54"/>
      <c r="M40" s="54"/>
    </row>
    <row r="41" spans="1:13" ht="12" customHeight="1" x14ac:dyDescent="0.25">
      <c r="A41" s="54"/>
      <c r="B41" s="54"/>
      <c r="C41" s="54"/>
      <c r="D41" s="54"/>
      <c r="E41" s="54"/>
      <c r="F41" s="54"/>
      <c r="G41" s="54"/>
      <c r="H41" s="54"/>
      <c r="I41" s="54"/>
      <c r="J41" s="54"/>
      <c r="K41" s="54"/>
      <c r="L41" s="54"/>
      <c r="M41" s="54"/>
    </row>
    <row r="42" spans="1:13" ht="18" customHeight="1" x14ac:dyDescent="0.25">
      <c r="A42" s="1432" t="s">
        <v>630</v>
      </c>
      <c r="B42" s="1432"/>
      <c r="C42" s="1432"/>
      <c r="D42" s="1432"/>
      <c r="E42" s="1432"/>
      <c r="F42" s="1432"/>
      <c r="G42" s="1432"/>
      <c r="H42" s="1432"/>
      <c r="I42" s="1432"/>
      <c r="J42" s="1432"/>
      <c r="K42" s="1432"/>
      <c r="L42" s="1432"/>
      <c r="M42" s="97"/>
    </row>
    <row r="43" spans="1:13" ht="12" customHeight="1" x14ac:dyDescent="0.25">
      <c r="A43" s="54"/>
      <c r="B43" s="54"/>
      <c r="C43" s="54"/>
      <c r="D43" s="54"/>
      <c r="E43" s="54"/>
      <c r="F43" s="54"/>
      <c r="G43" s="54"/>
      <c r="H43" s="54"/>
      <c r="I43" s="54"/>
      <c r="J43" s="54"/>
      <c r="K43" s="54"/>
      <c r="L43" s="54"/>
      <c r="M43" s="54"/>
    </row>
    <row r="44" spans="1:13" ht="16.5" customHeight="1" x14ac:dyDescent="0.25">
      <c r="A44" s="1410" t="s">
        <v>265</v>
      </c>
      <c r="B44" s="1410"/>
      <c r="C44" s="1410"/>
      <c r="D44" s="54"/>
      <c r="E44" s="54"/>
      <c r="F44" s="54"/>
      <c r="G44" s="54"/>
      <c r="H44" s="54"/>
      <c r="I44" s="54"/>
      <c r="J44" s="54"/>
      <c r="K44" s="54"/>
      <c r="L44" s="54"/>
      <c r="M44" s="97"/>
    </row>
    <row r="45" spans="1:13" ht="15" customHeight="1" x14ac:dyDescent="0.25">
      <c r="A45" s="54"/>
      <c r="B45" s="54"/>
      <c r="C45" s="54"/>
      <c r="D45" s="54"/>
      <c r="E45" s="54"/>
      <c r="F45" s="54"/>
      <c r="G45" s="54"/>
      <c r="H45" s="54"/>
      <c r="I45" s="54"/>
      <c r="J45" s="54"/>
      <c r="K45" s="54"/>
      <c r="L45" s="54"/>
      <c r="M45" s="54"/>
    </row>
    <row r="46" spans="1:13" ht="15" customHeight="1" x14ac:dyDescent="0.25">
      <c r="A46" s="54"/>
      <c r="B46" s="649" t="s">
        <v>1479</v>
      </c>
      <c r="C46" s="54"/>
      <c r="D46" s="54"/>
      <c r="E46" s="54"/>
      <c r="F46" s="54"/>
      <c r="G46" s="54"/>
      <c r="H46" s="54"/>
      <c r="I46" s="54"/>
      <c r="J46" s="54"/>
      <c r="K46" s="54"/>
      <c r="L46" s="54"/>
      <c r="M46" s="54"/>
    </row>
    <row r="47" spans="1:13" ht="18.75" customHeight="1" x14ac:dyDescent="0.25">
      <c r="A47" s="54"/>
      <c r="B47" s="54"/>
      <c r="C47" s="54"/>
      <c r="D47" s="54"/>
      <c r="E47" s="54"/>
      <c r="F47" s="54"/>
      <c r="G47" s="54"/>
      <c r="H47" s="54"/>
      <c r="I47" s="54"/>
      <c r="J47" s="54"/>
      <c r="K47" s="54"/>
      <c r="L47" s="54"/>
      <c r="M47" s="54"/>
    </row>
    <row r="48" spans="1:13" ht="15" customHeight="1" x14ac:dyDescent="0.25">
      <c r="A48" s="54"/>
      <c r="B48" s="1411" t="s">
        <v>1475</v>
      </c>
      <c r="C48" s="1645"/>
      <c r="D48" s="1645"/>
      <c r="E48" s="1645"/>
      <c r="F48" s="1645"/>
      <c r="G48" s="54"/>
      <c r="H48" s="54"/>
      <c r="I48" s="54"/>
      <c r="J48" s="54"/>
      <c r="K48" s="54"/>
      <c r="L48" s="54"/>
      <c r="M48" s="54"/>
    </row>
    <row r="49" spans="1:13" ht="9" customHeight="1" x14ac:dyDescent="0.25">
      <c r="A49" s="54"/>
      <c r="B49" s="722"/>
      <c r="C49" s="722"/>
      <c r="D49" s="722"/>
      <c r="E49" s="722"/>
      <c r="F49" s="722"/>
      <c r="G49" s="54"/>
      <c r="H49" s="54"/>
      <c r="I49" s="54"/>
      <c r="J49" s="54"/>
      <c r="K49" s="54"/>
      <c r="L49" s="54"/>
      <c r="M49" s="54"/>
    </row>
    <row r="50" spans="1:13" ht="18" customHeight="1" x14ac:dyDescent="0.25">
      <c r="A50" s="54"/>
      <c r="B50" s="1523" t="s">
        <v>1476</v>
      </c>
      <c r="C50" s="1523"/>
      <c r="D50" s="1523"/>
      <c r="E50" s="1523"/>
      <c r="F50" s="217" t="s">
        <v>129</v>
      </c>
      <c r="G50" s="54"/>
      <c r="H50" s="54"/>
      <c r="I50" s="54"/>
      <c r="J50" s="54"/>
      <c r="K50" s="54"/>
      <c r="L50" s="54"/>
      <c r="M50" s="54"/>
    </row>
    <row r="51" spans="1:13" ht="18" customHeight="1" x14ac:dyDescent="0.25">
      <c r="A51" s="54"/>
      <c r="B51" s="1523" t="s">
        <v>1477</v>
      </c>
      <c r="C51" s="1523"/>
      <c r="D51" s="1523"/>
      <c r="E51" s="1523"/>
      <c r="F51" s="217" t="s">
        <v>129</v>
      </c>
      <c r="G51" s="217" t="s">
        <v>129</v>
      </c>
      <c r="H51" s="217" t="s">
        <v>129</v>
      </c>
      <c r="I51" s="54"/>
      <c r="J51" s="54"/>
      <c r="K51" s="54"/>
      <c r="L51" s="54"/>
      <c r="M51" s="54"/>
    </row>
    <row r="52" spans="1:13" ht="18" customHeight="1" x14ac:dyDescent="0.25">
      <c r="A52" s="54"/>
      <c r="B52" s="1523" t="s">
        <v>1478</v>
      </c>
      <c r="C52" s="1523"/>
      <c r="D52" s="1523"/>
      <c r="E52" s="1523"/>
      <c r="F52" s="310"/>
      <c r="G52" s="310"/>
      <c r="H52" s="310"/>
      <c r="I52" s="54"/>
      <c r="J52" s="54"/>
      <c r="K52" s="54"/>
      <c r="L52" s="54"/>
      <c r="M52" s="54"/>
    </row>
    <row r="53" spans="1:13" ht="17.25" customHeight="1" x14ac:dyDescent="0.25">
      <c r="A53" s="54"/>
      <c r="B53" s="54"/>
      <c r="C53" s="54"/>
      <c r="D53" s="54"/>
      <c r="E53" s="54"/>
      <c r="F53" s="54"/>
      <c r="G53" s="54"/>
      <c r="H53" s="54"/>
      <c r="I53" s="54"/>
      <c r="J53" s="54"/>
      <c r="K53" s="54"/>
      <c r="L53" s="54"/>
      <c r="M53" s="54"/>
    </row>
    <row r="54" spans="1:13" ht="18" customHeight="1" x14ac:dyDescent="0.25">
      <c r="A54" s="54"/>
      <c r="B54" s="1494" t="s">
        <v>631</v>
      </c>
      <c r="C54" s="1494"/>
      <c r="D54" s="311" t="str">
        <f>IF(F50="Yes",SUM(F52:H52),"")</f>
        <v/>
      </c>
      <c r="E54" s="54"/>
      <c r="F54" s="54"/>
      <c r="G54" s="54"/>
      <c r="H54" s="54"/>
      <c r="I54" s="54"/>
      <c r="J54" s="54"/>
      <c r="K54" s="54"/>
      <c r="L54" s="54"/>
      <c r="M54" s="54"/>
    </row>
    <row r="55" spans="1:13" ht="18" customHeight="1" x14ac:dyDescent="0.25">
      <c r="A55" s="54"/>
      <c r="B55" s="54"/>
      <c r="C55" s="54"/>
      <c r="D55" s="54"/>
      <c r="E55" s="54"/>
      <c r="F55" s="54"/>
      <c r="G55" s="54"/>
      <c r="H55" s="54"/>
      <c r="I55" s="54"/>
      <c r="J55" s="54"/>
      <c r="K55" s="54"/>
      <c r="L55" s="54"/>
      <c r="M55" s="54"/>
    </row>
    <row r="56" spans="1:13" ht="16.5" customHeight="1" x14ac:dyDescent="0.25">
      <c r="A56" s="1410" t="s">
        <v>200</v>
      </c>
      <c r="B56" s="1410"/>
      <c r="C56" s="1410"/>
      <c r="D56" s="54"/>
      <c r="E56" s="54"/>
      <c r="F56" s="54"/>
      <c r="G56" s="54"/>
      <c r="H56" s="54"/>
      <c r="I56" s="54"/>
      <c r="J56" s="54"/>
      <c r="K56" s="54"/>
      <c r="L56" s="54"/>
      <c r="M56" s="97"/>
    </row>
    <row r="57" spans="1:13" ht="12" customHeight="1" x14ac:dyDescent="0.25">
      <c r="A57" s="53"/>
      <c r="B57" s="54"/>
      <c r="C57" s="54"/>
      <c r="D57" s="54"/>
      <c r="E57" s="53"/>
      <c r="F57" s="53"/>
      <c r="G57" s="53"/>
      <c r="H57" s="53"/>
      <c r="I57" s="53"/>
      <c r="J57" s="53"/>
      <c r="K57" s="53"/>
      <c r="L57" s="53"/>
      <c r="M57" s="53"/>
    </row>
    <row r="58" spans="1:13" ht="18" customHeight="1" x14ac:dyDescent="0.25">
      <c r="A58" s="53"/>
      <c r="B58" s="1446" t="s">
        <v>2103</v>
      </c>
      <c r="C58" s="1447"/>
      <c r="D58" s="1447"/>
      <c r="E58" s="1447"/>
      <c r="F58" s="1447"/>
      <c r="G58" s="1045" t="s">
        <v>2101</v>
      </c>
      <c r="H58" s="1443" t="s">
        <v>2102</v>
      </c>
      <c r="I58" s="1444"/>
      <c r="J58" s="53"/>
      <c r="K58" s="53"/>
      <c r="L58" s="53"/>
      <c r="M58" s="53"/>
    </row>
    <row r="59" spans="1:13" ht="19.5" customHeight="1" x14ac:dyDescent="0.25">
      <c r="A59" s="53"/>
      <c r="B59" s="1436" t="s">
        <v>1480</v>
      </c>
      <c r="C59" s="1437"/>
      <c r="D59" s="1437"/>
      <c r="E59" s="1437"/>
      <c r="F59" s="1438"/>
      <c r="G59" s="518" t="s">
        <v>129</v>
      </c>
      <c r="H59" s="1441"/>
      <c r="I59" s="1442"/>
      <c r="J59" s="53"/>
      <c r="K59" s="53"/>
      <c r="L59" s="53"/>
      <c r="M59" s="53"/>
    </row>
    <row r="60" spans="1:13" ht="27" customHeight="1" x14ac:dyDescent="0.25">
      <c r="A60" s="53"/>
      <c r="B60" s="1436" t="s">
        <v>1484</v>
      </c>
      <c r="C60" s="1437"/>
      <c r="D60" s="1437"/>
      <c r="E60" s="1437"/>
      <c r="F60" s="1438"/>
      <c r="G60" s="518" t="s">
        <v>129</v>
      </c>
      <c r="H60" s="1441"/>
      <c r="I60" s="1442"/>
      <c r="J60" s="53"/>
      <c r="K60" s="53"/>
      <c r="L60" s="53"/>
      <c r="M60" s="53"/>
    </row>
    <row r="61" spans="1:13" ht="18" customHeight="1" x14ac:dyDescent="0.25">
      <c r="A61" s="53"/>
      <c r="B61" s="54"/>
      <c r="C61" s="54"/>
      <c r="D61" s="54"/>
      <c r="E61" s="53"/>
      <c r="F61" s="53"/>
      <c r="G61" s="53"/>
      <c r="H61" s="53"/>
      <c r="I61" s="53"/>
      <c r="J61" s="53"/>
      <c r="K61" s="53"/>
      <c r="L61" s="53"/>
      <c r="M61" s="53"/>
    </row>
    <row r="62" spans="1:13" ht="16.5" customHeight="1" x14ac:dyDescent="0.25">
      <c r="A62" s="1410" t="s">
        <v>25</v>
      </c>
      <c r="B62" s="1410"/>
      <c r="C62" s="1410"/>
      <c r="D62" s="54"/>
      <c r="E62" s="54"/>
      <c r="F62" s="54"/>
      <c r="G62" s="54"/>
      <c r="H62" s="54"/>
      <c r="I62" s="54"/>
      <c r="J62" s="54"/>
      <c r="K62" s="54"/>
      <c r="L62" s="54"/>
      <c r="M62" s="97"/>
    </row>
    <row r="63" spans="1:13" ht="15" customHeight="1" x14ac:dyDescent="0.25">
      <c r="A63" s="54"/>
      <c r="B63" s="54"/>
      <c r="C63" s="54"/>
      <c r="D63" s="54"/>
      <c r="E63" s="54"/>
      <c r="F63" s="54"/>
      <c r="G63" s="54"/>
      <c r="H63" s="54"/>
      <c r="I63" s="54"/>
      <c r="J63" s="54"/>
      <c r="K63" s="54"/>
      <c r="L63" s="54"/>
      <c r="M63" s="54"/>
    </row>
    <row r="64" spans="1:13" ht="18" customHeight="1" x14ac:dyDescent="0.25">
      <c r="A64" s="54"/>
      <c r="B64" s="192" t="s">
        <v>56</v>
      </c>
      <c r="C64" s="12">
        <f>IF(D54="",0,IF(D54&gt;=3,3,IF(D54&gt;=2,2,IF(D54&gt;=1,1,0))))</f>
        <v>0</v>
      </c>
      <c r="D64" s="54"/>
      <c r="E64" s="54"/>
      <c r="F64" s="54"/>
      <c r="G64" s="54"/>
      <c r="H64" s="54"/>
      <c r="I64" s="54"/>
      <c r="J64" s="54"/>
      <c r="K64" s="54"/>
      <c r="L64" s="54"/>
      <c r="M64" s="54"/>
    </row>
    <row r="65" spans="1:13" ht="18" customHeight="1" x14ac:dyDescent="0.25">
      <c r="A65" s="54"/>
      <c r="B65" s="192" t="s">
        <v>521</v>
      </c>
      <c r="C65" s="8" t="str">
        <f>IF(AND(COUNTIF(G59:G60,"Submitted")=2,C64&gt;0),"Yes","No")</f>
        <v>No</v>
      </c>
      <c r="D65" s="54"/>
      <c r="E65" s="54"/>
      <c r="F65" s="54"/>
      <c r="G65" s="54"/>
      <c r="H65" s="54"/>
      <c r="I65" s="54"/>
      <c r="J65" s="54"/>
      <c r="K65" s="54"/>
      <c r="L65" s="54"/>
      <c r="M65" s="54"/>
    </row>
    <row r="66" spans="1:13" ht="20.25" customHeight="1" x14ac:dyDescent="0.25">
      <c r="A66" s="54"/>
      <c r="B66" s="54"/>
      <c r="C66" s="54"/>
      <c r="D66" s="54"/>
      <c r="E66" s="54"/>
      <c r="F66" s="54"/>
      <c r="G66" s="54"/>
      <c r="H66" s="54"/>
      <c r="I66" s="54"/>
      <c r="J66" s="54"/>
      <c r="K66" s="54"/>
      <c r="L66" s="54"/>
      <c r="M66" s="54"/>
    </row>
    <row r="67" spans="1:13" ht="18" customHeight="1" x14ac:dyDescent="0.25">
      <c r="A67" s="1432" t="s">
        <v>632</v>
      </c>
      <c r="B67" s="1432"/>
      <c r="C67" s="1432"/>
      <c r="D67" s="1432"/>
      <c r="E67" s="1432"/>
      <c r="F67" s="1432"/>
      <c r="G67" s="1432"/>
      <c r="H67" s="1432"/>
      <c r="I67" s="1432"/>
      <c r="J67" s="1432"/>
      <c r="K67" s="1432"/>
      <c r="L67" s="1432"/>
      <c r="M67" s="97"/>
    </row>
    <row r="68" spans="1:13" ht="12" customHeight="1" x14ac:dyDescent="0.25">
      <c r="A68" s="54"/>
      <c r="B68" s="54"/>
      <c r="C68" s="54"/>
      <c r="D68" s="54"/>
      <c r="E68" s="54"/>
      <c r="F68" s="54"/>
      <c r="G68" s="54"/>
      <c r="H68" s="54"/>
      <c r="I68" s="54"/>
      <c r="J68" s="54"/>
      <c r="K68" s="54"/>
      <c r="L68" s="54"/>
      <c r="M68" s="54"/>
    </row>
    <row r="69" spans="1:13" ht="16.5" customHeight="1" x14ac:dyDescent="0.25">
      <c r="A69" s="1410" t="s">
        <v>265</v>
      </c>
      <c r="B69" s="1410"/>
      <c r="C69" s="1410"/>
      <c r="D69" s="54"/>
      <c r="E69" s="54"/>
      <c r="F69" s="54"/>
      <c r="G69" s="54"/>
      <c r="H69" s="54"/>
      <c r="I69" s="54"/>
      <c r="J69" s="54"/>
      <c r="K69" s="54"/>
      <c r="L69" s="54"/>
      <c r="M69" s="97"/>
    </row>
    <row r="70" spans="1:13" ht="15" customHeight="1" x14ac:dyDescent="0.25">
      <c r="A70" s="54"/>
      <c r="B70" s="54"/>
      <c r="C70" s="54"/>
      <c r="D70" s="54"/>
      <c r="E70" s="54"/>
      <c r="F70" s="54"/>
      <c r="G70" s="54"/>
      <c r="H70" s="54"/>
      <c r="I70" s="54"/>
      <c r="J70" s="54"/>
      <c r="K70" s="54"/>
      <c r="L70" s="54"/>
      <c r="M70" s="54"/>
    </row>
    <row r="71" spans="1:13" ht="15" customHeight="1" x14ac:dyDescent="0.25">
      <c r="A71" s="54"/>
      <c r="B71" s="859" t="s">
        <v>1625</v>
      </c>
      <c r="C71" s="638"/>
      <c r="D71" s="638"/>
      <c r="E71" s="638"/>
      <c r="F71" s="638"/>
      <c r="G71" s="638"/>
      <c r="H71" s="639"/>
      <c r="I71" s="54"/>
      <c r="J71" s="54"/>
      <c r="K71" s="54"/>
      <c r="L71" s="54"/>
      <c r="M71" s="54"/>
    </row>
    <row r="72" spans="1:13" ht="15" customHeight="1" x14ac:dyDescent="0.25">
      <c r="A72" s="54"/>
      <c r="B72" s="782" t="s">
        <v>1611</v>
      </c>
      <c r="C72" s="635"/>
      <c r="D72" s="635"/>
      <c r="E72" s="635"/>
      <c r="F72" s="635"/>
      <c r="G72" s="635"/>
      <c r="H72" s="641"/>
      <c r="I72" s="54"/>
      <c r="J72" s="54"/>
      <c r="K72" s="54"/>
      <c r="L72" s="54"/>
      <c r="M72" s="54"/>
    </row>
    <row r="73" spans="1:13" ht="15" customHeight="1" x14ac:dyDescent="0.25">
      <c r="A73" s="54"/>
      <c r="B73" s="782" t="s">
        <v>1612</v>
      </c>
      <c r="C73" s="635"/>
      <c r="D73" s="635"/>
      <c r="E73" s="635"/>
      <c r="F73" s="635"/>
      <c r="G73" s="635"/>
      <c r="H73" s="641"/>
      <c r="I73" s="54"/>
      <c r="J73" s="54"/>
      <c r="K73" s="54"/>
      <c r="L73" s="54"/>
      <c r="M73" s="54"/>
    </row>
    <row r="74" spans="1:13" ht="15" customHeight="1" x14ac:dyDescent="0.25">
      <c r="A74" s="54"/>
      <c r="B74" s="782" t="s">
        <v>1613</v>
      </c>
      <c r="C74" s="635"/>
      <c r="D74" s="635"/>
      <c r="E74" s="635"/>
      <c r="F74" s="635"/>
      <c r="G74" s="635"/>
      <c r="H74" s="641"/>
      <c r="I74" s="54"/>
      <c r="J74" s="54"/>
      <c r="K74" s="54"/>
      <c r="L74" s="54"/>
      <c r="M74" s="54"/>
    </row>
    <row r="75" spans="1:13" ht="15" customHeight="1" x14ac:dyDescent="0.25">
      <c r="A75" s="54"/>
      <c r="B75" s="782" t="s">
        <v>1614</v>
      </c>
      <c r="C75" s="635"/>
      <c r="D75" s="635"/>
      <c r="E75" s="635"/>
      <c r="F75" s="635"/>
      <c r="G75" s="635"/>
      <c r="H75" s="641"/>
      <c r="I75" s="54"/>
      <c r="J75" s="54"/>
      <c r="K75" s="54"/>
      <c r="L75" s="54"/>
      <c r="M75" s="54"/>
    </row>
    <row r="76" spans="1:13" ht="15" customHeight="1" x14ac:dyDescent="0.25">
      <c r="A76" s="54"/>
      <c r="B76" s="782" t="s">
        <v>1615</v>
      </c>
      <c r="C76" s="635"/>
      <c r="D76" s="635"/>
      <c r="E76" s="635"/>
      <c r="F76" s="635"/>
      <c r="G76" s="635"/>
      <c r="H76" s="641"/>
      <c r="I76" s="54"/>
      <c r="J76" s="54"/>
      <c r="K76" s="54"/>
      <c r="L76" s="54"/>
      <c r="M76" s="54"/>
    </row>
    <row r="77" spans="1:13" ht="15" customHeight="1" x14ac:dyDescent="0.25">
      <c r="A77" s="54"/>
      <c r="B77" s="784" t="s">
        <v>1626</v>
      </c>
      <c r="C77" s="643"/>
      <c r="D77" s="643"/>
      <c r="E77" s="643"/>
      <c r="F77" s="643"/>
      <c r="G77" s="643"/>
      <c r="H77" s="644"/>
      <c r="I77" s="54"/>
      <c r="J77" s="54"/>
      <c r="K77" s="54"/>
      <c r="L77" s="54"/>
      <c r="M77" s="54"/>
    </row>
    <row r="78" spans="1:13" ht="17.25" customHeight="1" x14ac:dyDescent="0.25">
      <c r="A78" s="54"/>
      <c r="B78" s="54"/>
      <c r="C78" s="54"/>
      <c r="D78" s="54"/>
      <c r="E78" s="54"/>
      <c r="F78" s="54"/>
      <c r="G78" s="54"/>
      <c r="H78" s="54"/>
      <c r="I78" s="54"/>
      <c r="J78" s="54"/>
      <c r="K78" s="54"/>
      <c r="L78" s="54"/>
      <c r="M78" s="54"/>
    </row>
    <row r="79" spans="1:13" x14ac:dyDescent="0.25">
      <c r="A79" s="54"/>
      <c r="B79" s="1411" t="s">
        <v>1472</v>
      </c>
      <c r="C79" s="1645"/>
      <c r="D79" s="1645"/>
      <c r="E79" s="1645"/>
      <c r="F79" s="1645"/>
      <c r="G79" s="54"/>
      <c r="H79" s="54"/>
      <c r="I79" s="54"/>
      <c r="J79" s="54"/>
      <c r="K79" s="54"/>
      <c r="L79" s="54"/>
      <c r="M79" s="54"/>
    </row>
    <row r="80" spans="1:13" ht="9" customHeight="1" x14ac:dyDescent="0.25">
      <c r="A80" s="54"/>
      <c r="B80" s="54"/>
      <c r="C80" s="54"/>
      <c r="D80" s="54"/>
      <c r="E80" s="54"/>
      <c r="F80" s="54"/>
      <c r="G80" s="54"/>
      <c r="H80" s="54"/>
      <c r="I80" s="54"/>
      <c r="J80" s="54"/>
      <c r="K80" s="54"/>
      <c r="L80" s="54"/>
      <c r="M80" s="54"/>
    </row>
    <row r="81" spans="1:13" ht="18" customHeight="1" x14ac:dyDescent="0.25">
      <c r="A81" s="54"/>
      <c r="B81" s="853" t="s">
        <v>633</v>
      </c>
      <c r="C81" s="1443" t="s">
        <v>1616</v>
      </c>
      <c r="D81" s="1443"/>
      <c r="E81" s="1443" t="s">
        <v>33</v>
      </c>
      <c r="F81" s="1443"/>
      <c r="G81" s="1444"/>
      <c r="H81" s="54"/>
      <c r="I81" s="54"/>
      <c r="J81" s="54"/>
      <c r="K81" s="54"/>
      <c r="L81" s="54"/>
      <c r="M81" s="54"/>
    </row>
    <row r="82" spans="1:13" ht="16.5" customHeight="1" x14ac:dyDescent="0.25">
      <c r="A82" s="54"/>
      <c r="B82" s="852" t="s">
        <v>129</v>
      </c>
      <c r="C82" s="1522"/>
      <c r="D82" s="1522"/>
      <c r="E82" s="1522"/>
      <c r="F82" s="1522"/>
      <c r="G82" s="1522"/>
      <c r="H82" s="54"/>
      <c r="I82" s="54"/>
      <c r="J82" s="54"/>
      <c r="K82" s="54"/>
      <c r="L82" s="54"/>
      <c r="M82" s="54"/>
    </row>
    <row r="83" spans="1:13" ht="16.5" customHeight="1" x14ac:dyDescent="0.25">
      <c r="A83" s="54"/>
      <c r="B83" s="852" t="s">
        <v>129</v>
      </c>
      <c r="C83" s="1522"/>
      <c r="D83" s="1522"/>
      <c r="E83" s="1522"/>
      <c r="F83" s="1522"/>
      <c r="G83" s="1522"/>
      <c r="H83" s="54"/>
      <c r="I83" s="54"/>
      <c r="J83" s="54"/>
      <c r="K83" s="54"/>
      <c r="L83" s="54"/>
      <c r="M83" s="54"/>
    </row>
    <row r="84" spans="1:13" ht="16.5" customHeight="1" x14ac:dyDescent="0.25">
      <c r="A84" s="54"/>
      <c r="B84" s="852" t="s">
        <v>129</v>
      </c>
      <c r="C84" s="1522"/>
      <c r="D84" s="1522"/>
      <c r="E84" s="1522"/>
      <c r="F84" s="1522"/>
      <c r="G84" s="1522"/>
      <c r="H84" s="54"/>
      <c r="I84" s="54"/>
      <c r="J84" s="54"/>
      <c r="K84" s="54"/>
      <c r="L84" s="54"/>
      <c r="M84" s="54"/>
    </row>
    <row r="85" spans="1:13" ht="15" customHeight="1" x14ac:dyDescent="0.25">
      <c r="A85" s="54"/>
      <c r="B85" s="54"/>
      <c r="C85" s="54"/>
      <c r="D85" s="54"/>
      <c r="E85" s="54"/>
      <c r="F85" s="54"/>
      <c r="G85" s="54"/>
      <c r="H85" s="54"/>
      <c r="I85" s="54"/>
      <c r="J85" s="54"/>
      <c r="K85" s="54"/>
      <c r="L85" s="54"/>
      <c r="M85" s="54"/>
    </row>
    <row r="86" spans="1:13" ht="18" customHeight="1" x14ac:dyDescent="0.25">
      <c r="A86" s="54"/>
      <c r="B86" s="1494" t="s">
        <v>634</v>
      </c>
      <c r="C86" s="1494"/>
      <c r="D86" s="314" t="str">
        <f>IF(AND(B82&lt;&gt;"",C82&lt;&gt;"",B83&lt;&gt;"",C83&lt;&gt;""),"Yes","No")</f>
        <v>No</v>
      </c>
      <c r="E86" s="54"/>
      <c r="F86" s="54"/>
      <c r="G86" s="54"/>
      <c r="H86" s="54"/>
      <c r="I86" s="54"/>
      <c r="J86" s="54"/>
      <c r="K86" s="54"/>
      <c r="L86" s="54"/>
      <c r="M86" s="54"/>
    </row>
    <row r="87" spans="1:13" ht="21" customHeight="1" x14ac:dyDescent="0.25">
      <c r="A87" s="54"/>
      <c r="B87" s="54"/>
      <c r="C87" s="54"/>
      <c r="D87" s="54"/>
      <c r="E87" s="54"/>
      <c r="F87" s="54"/>
      <c r="G87" s="54"/>
      <c r="H87" s="54"/>
      <c r="I87" s="54"/>
      <c r="J87" s="54"/>
      <c r="K87" s="54"/>
      <c r="L87" s="54"/>
      <c r="M87" s="54"/>
    </row>
    <row r="88" spans="1:13" ht="16.5" customHeight="1" x14ac:dyDescent="0.25">
      <c r="A88" s="1410" t="s">
        <v>200</v>
      </c>
      <c r="B88" s="1410"/>
      <c r="C88" s="1410"/>
      <c r="D88" s="54"/>
      <c r="E88" s="54"/>
      <c r="F88" s="54"/>
      <c r="G88" s="54"/>
      <c r="H88" s="54"/>
      <c r="I88" s="54"/>
      <c r="J88" s="54"/>
      <c r="K88" s="54"/>
      <c r="L88" s="54"/>
      <c r="M88" s="97"/>
    </row>
    <row r="89" spans="1:13" ht="12" customHeight="1" x14ac:dyDescent="0.25">
      <c r="A89" s="53"/>
      <c r="B89" s="54"/>
      <c r="C89" s="54"/>
      <c r="D89" s="54"/>
      <c r="E89" s="54"/>
      <c r="F89" s="54"/>
      <c r="G89" s="54"/>
      <c r="H89" s="54"/>
      <c r="I89" s="54"/>
      <c r="J89" s="54"/>
      <c r="K89" s="54"/>
      <c r="L89" s="54"/>
      <c r="M89" s="53"/>
    </row>
    <row r="90" spans="1:13" ht="18" customHeight="1" x14ac:dyDescent="0.25">
      <c r="A90" s="53"/>
      <c r="B90" s="1446" t="s">
        <v>2103</v>
      </c>
      <c r="C90" s="1447"/>
      <c r="D90" s="1447"/>
      <c r="E90" s="1447"/>
      <c r="F90" s="1447"/>
      <c r="G90" s="1045" t="s">
        <v>2101</v>
      </c>
      <c r="H90" s="1443" t="s">
        <v>2102</v>
      </c>
      <c r="I90" s="1444"/>
      <c r="J90" s="53"/>
      <c r="K90" s="53"/>
      <c r="L90" s="53"/>
      <c r="M90" s="53"/>
    </row>
    <row r="91" spans="1:13" ht="22.5" customHeight="1" x14ac:dyDescent="0.25">
      <c r="A91" s="53"/>
      <c r="B91" s="1436" t="s">
        <v>1473</v>
      </c>
      <c r="C91" s="1437"/>
      <c r="D91" s="1437"/>
      <c r="E91" s="1437"/>
      <c r="F91" s="1438"/>
      <c r="G91" s="518" t="s">
        <v>129</v>
      </c>
      <c r="H91" s="1441"/>
      <c r="I91" s="1442"/>
      <c r="J91" s="53"/>
      <c r="K91" s="53"/>
      <c r="L91" s="53"/>
      <c r="M91" s="53"/>
    </row>
    <row r="92" spans="1:13" ht="19.5" customHeight="1" x14ac:dyDescent="0.25">
      <c r="A92" s="53"/>
      <c r="B92" s="54"/>
      <c r="C92" s="54"/>
      <c r="D92" s="54"/>
      <c r="E92" s="53"/>
      <c r="F92" s="53"/>
      <c r="G92" s="53"/>
      <c r="H92" s="53"/>
      <c r="I92" s="53"/>
      <c r="J92" s="53"/>
      <c r="K92" s="53"/>
      <c r="L92" s="53"/>
      <c r="M92" s="53"/>
    </row>
    <row r="93" spans="1:13" ht="16.5" customHeight="1" x14ac:dyDescent="0.25">
      <c r="A93" s="1410" t="s">
        <v>25</v>
      </c>
      <c r="B93" s="1410"/>
      <c r="C93" s="1410"/>
      <c r="D93" s="54"/>
      <c r="E93" s="54"/>
      <c r="F93" s="54"/>
      <c r="G93" s="54"/>
      <c r="H93" s="54"/>
      <c r="I93" s="54"/>
      <c r="J93" s="54"/>
      <c r="K93" s="54"/>
      <c r="L93" s="54"/>
      <c r="M93" s="97"/>
    </row>
    <row r="94" spans="1:13" ht="15" customHeight="1" x14ac:dyDescent="0.25">
      <c r="A94" s="54"/>
      <c r="B94" s="54"/>
      <c r="C94" s="54"/>
      <c r="D94" s="54"/>
      <c r="E94" s="54"/>
      <c r="F94" s="54"/>
      <c r="G94" s="54"/>
      <c r="H94" s="54"/>
      <c r="I94" s="54"/>
      <c r="J94" s="54"/>
      <c r="K94" s="54"/>
      <c r="L94" s="54"/>
      <c r="M94" s="54"/>
    </row>
    <row r="95" spans="1:13" ht="18" customHeight="1" x14ac:dyDescent="0.25">
      <c r="A95" s="54"/>
      <c r="B95" s="192" t="s">
        <v>56</v>
      </c>
      <c r="C95" s="12">
        <f>IF(D86="Yes",1,0)</f>
        <v>0</v>
      </c>
      <c r="D95" s="54"/>
      <c r="E95" s="54"/>
      <c r="F95" s="54"/>
      <c r="G95" s="54"/>
      <c r="H95" s="54"/>
      <c r="I95" s="54"/>
      <c r="J95" s="54"/>
      <c r="K95" s="54"/>
      <c r="L95" s="54"/>
      <c r="M95" s="54"/>
    </row>
    <row r="96" spans="1:13" ht="18" customHeight="1" x14ac:dyDescent="0.25">
      <c r="A96" s="54"/>
      <c r="B96" s="192" t="s">
        <v>521</v>
      </c>
      <c r="C96" s="8" t="str">
        <f>IF(AND(COUNTIF(G91:G91,"Submitted")=1,C95&gt;0),"Yes","No")</f>
        <v>No</v>
      </c>
      <c r="D96" s="54"/>
      <c r="E96" s="54"/>
      <c r="F96" s="54"/>
      <c r="G96" s="54"/>
      <c r="H96" s="54"/>
      <c r="I96" s="54"/>
      <c r="J96" s="54"/>
      <c r="K96" s="54"/>
      <c r="L96" s="54"/>
      <c r="M96" s="54"/>
    </row>
    <row r="97" spans="1:13" ht="15" customHeight="1" x14ac:dyDescent="0.25">
      <c r="A97" s="54"/>
      <c r="B97" s="54"/>
      <c r="C97" s="54"/>
      <c r="D97" s="54"/>
      <c r="E97" s="54"/>
      <c r="F97" s="53"/>
      <c r="G97" s="53"/>
      <c r="H97" s="53"/>
      <c r="I97" s="53"/>
      <c r="J97" s="53"/>
      <c r="K97" s="53"/>
      <c r="L97" s="53"/>
      <c r="M97" s="53"/>
    </row>
    <row r="98" spans="1:13" ht="15" customHeight="1" x14ac:dyDescent="0.25">
      <c r="A98" s="54"/>
      <c r="B98" s="54"/>
      <c r="C98" s="54"/>
      <c r="D98" s="54"/>
      <c r="E98" s="54"/>
      <c r="F98" s="53"/>
      <c r="G98" s="53"/>
      <c r="H98" s="53"/>
      <c r="I98" s="53"/>
      <c r="J98" s="53"/>
      <c r="K98" s="53"/>
      <c r="L98" s="53"/>
      <c r="M98" s="53"/>
    </row>
    <row r="99" spans="1:13" ht="15" hidden="1" customHeight="1" x14ac:dyDescent="0.25"/>
    <row r="100" spans="1:13" ht="15" hidden="1" customHeight="1" x14ac:dyDescent="0.25"/>
    <row r="101" spans="1:13" ht="15" hidden="1" customHeight="1" x14ac:dyDescent="0.25"/>
    <row r="102" spans="1:13" ht="15" hidden="1" customHeight="1" x14ac:dyDescent="0.25"/>
    <row r="103" spans="1:13" ht="15" hidden="1" customHeight="1" x14ac:dyDescent="0.25"/>
    <row r="104" spans="1:13" ht="15" hidden="1" customHeight="1" x14ac:dyDescent="0.25"/>
    <row r="105" spans="1:13" ht="15" hidden="1" customHeight="1" x14ac:dyDescent="0.25"/>
    <row r="106" spans="1:13" ht="15" hidden="1" customHeight="1" x14ac:dyDescent="0.25"/>
    <row r="107" spans="1:13" ht="15" hidden="1" customHeight="1" x14ac:dyDescent="0.25"/>
    <row r="108" spans="1:13" ht="15" hidden="1" customHeight="1" x14ac:dyDescent="0.25"/>
    <row r="109" spans="1:13" ht="15" hidden="1" customHeight="1" x14ac:dyDescent="0.25"/>
  </sheetData>
  <sheetProtection algorithmName="SHA-512" hashValue="An5Bznz+aKOerVDJybJnqAQkaHwJnwTLLl40rpOmmTKMqpvMi3FRD8JOZ3rsqW68uVCApfMGDfSiQBFxW3y/7A==" saltValue="1TjqfnD9EThX+cp9cbke8w==" spinCount="100000" sheet="1" objects="1" scenarios="1"/>
  <mergeCells count="53">
    <mergeCell ref="H2:I4"/>
    <mergeCell ref="H91:I91"/>
    <mergeCell ref="H59:I59"/>
    <mergeCell ref="H60:I60"/>
    <mergeCell ref="H34:I34"/>
    <mergeCell ref="B33:F33"/>
    <mergeCell ref="H33:I33"/>
    <mergeCell ref="B58:F58"/>
    <mergeCell ref="H58:I58"/>
    <mergeCell ref="B90:F90"/>
    <mergeCell ref="H90:I90"/>
    <mergeCell ref="A69:C69"/>
    <mergeCell ref="A88:C88"/>
    <mergeCell ref="E83:G83"/>
    <mergeCell ref="E84:G84"/>
    <mergeCell ref="B51:E51"/>
    <mergeCell ref="E81:G81"/>
    <mergeCell ref="C81:D81"/>
    <mergeCell ref="C82:D82"/>
    <mergeCell ref="E82:G82"/>
    <mergeCell ref="B54:C54"/>
    <mergeCell ref="A1:L1"/>
    <mergeCell ref="B79:F79"/>
    <mergeCell ref="B21:H22"/>
    <mergeCell ref="A17:C17"/>
    <mergeCell ref="A31:C31"/>
    <mergeCell ref="A36:C36"/>
    <mergeCell ref="A44:C44"/>
    <mergeCell ref="A56:C56"/>
    <mergeCell ref="B26:C26"/>
    <mergeCell ref="B48:F48"/>
    <mergeCell ref="B52:E52"/>
    <mergeCell ref="B29:C29"/>
    <mergeCell ref="A15:L15"/>
    <mergeCell ref="A8:L8"/>
    <mergeCell ref="A42:L42"/>
    <mergeCell ref="A5:M6"/>
    <mergeCell ref="A93:C93"/>
    <mergeCell ref="C83:D83"/>
    <mergeCell ref="B10:E10"/>
    <mergeCell ref="B11:E11"/>
    <mergeCell ref="B12:E12"/>
    <mergeCell ref="B13:E13"/>
    <mergeCell ref="C84:D84"/>
    <mergeCell ref="B59:F59"/>
    <mergeCell ref="B60:F60"/>
    <mergeCell ref="B34:F34"/>
    <mergeCell ref="B50:E50"/>
    <mergeCell ref="A67:L67"/>
    <mergeCell ref="B91:F91"/>
    <mergeCell ref="B27:C27"/>
    <mergeCell ref="B86:C86"/>
    <mergeCell ref="A62:C62"/>
  </mergeCells>
  <conditionalFormatting sqref="F11:G13">
    <cfRule type="expression" dxfId="274" priority="8">
      <formula>OR(#REF!="No",#REF!="Không")</formula>
    </cfRule>
  </conditionalFormatting>
  <conditionalFormatting sqref="F11:G13">
    <cfRule type="expression" dxfId="273" priority="6">
      <formula>OR($D11="No",$D11="Không")</formula>
    </cfRule>
    <cfRule type="expression" dxfId="272" priority="7">
      <formula>OR(#REF!="No",#REF!="Không")</formula>
    </cfRule>
  </conditionalFormatting>
  <conditionalFormatting sqref="B11:B13">
    <cfRule type="expression" dxfId="271" priority="5">
      <formula>#REF!="Option B"</formula>
    </cfRule>
  </conditionalFormatting>
  <conditionalFormatting sqref="B11:B13">
    <cfRule type="expression" dxfId="270" priority="4">
      <formula>#REF!="No"</formula>
    </cfRule>
  </conditionalFormatting>
  <conditionalFormatting sqref="H11:H13">
    <cfRule type="expression" dxfId="269" priority="3">
      <formula>OR(#REF!="No",#REF!="Không")</formula>
    </cfRule>
  </conditionalFormatting>
  <conditionalFormatting sqref="H11:H13">
    <cfRule type="expression" dxfId="268" priority="1">
      <formula>OR($D11="No",$D11="Không")</formula>
    </cfRule>
    <cfRule type="expression" dxfId="267" priority="2">
      <formula>OR(#REF!="No",#REF!="Không")</formula>
    </cfRule>
  </conditionalFormatting>
  <dataValidations disablePrompts="1" count="6">
    <dataValidation type="list" allowBlank="1" showInputMessage="1" showErrorMessage="1" sqref="F51:H51">
      <formula1>"Select,Biomass,Photovoltaic (PV),Wind,Micro-hydro"</formula1>
    </dataValidation>
    <dataValidation type="list" allowBlank="1" showInputMessage="1" showErrorMessage="1" sqref="G34 G59:G60 G91">
      <formula1>"Select,Submitted,Not submitted"</formula1>
    </dataValidation>
    <dataValidation type="list" allowBlank="1" showInputMessage="1" showErrorMessage="1" sqref="B82:B84">
      <formula1>"Select,Light occupancy sensor, Light dimmer,Daylight sensor,Automated shadings,Plug load control,Other"</formula1>
    </dataValidation>
    <dataValidation allowBlank="1" showInputMessage="1" showErrorMessage="1" prompt="Enter the spaces/locations where the energy control solutions have been installed." sqref="C81:D84"/>
    <dataValidation allowBlank="1" showInputMessage="1" showErrorMessage="1" prompt="Provide details on the way the energy control solution is working." sqref="E81:G84"/>
    <dataValidation type="list" allowBlank="1" showInputMessage="1" showErrorMessage="1" sqref="F50">
      <formula1>"Select,Yes,No"</formula1>
    </dataValidation>
  </dataValidations>
  <hyperlinks>
    <hyperlink ref="J2" location="'E-1 Passive Design'!B3" tooltip="E-1" display="E-1"/>
    <hyperlink ref="J3" location="'E-2 Building Envelope'!B3" tooltip="E-2" display="E-2"/>
    <hyperlink ref="J4" location="'E-3 Home cooling'!B3" tooltip="E-3" display="E-3"/>
    <hyperlink ref="L3" location="'E-7 Energy Monitor'!D3" tooltip="E-7" display="E-7"/>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563C1"/>
  </sheetPr>
  <dimension ref="A1:Q26"/>
  <sheetViews>
    <sheetView showRowColHeaders="0" zoomScale="90" zoomScaleNormal="90" workbookViewId="0">
      <selection activeCell="E6" sqref="E6:F6"/>
    </sheetView>
  </sheetViews>
  <sheetFormatPr defaultColWidth="0" defaultRowHeight="0" customHeight="1" zeroHeight="1" x14ac:dyDescent="0.25"/>
  <cols>
    <col min="1" max="1" width="5.7109375" customWidth="1"/>
    <col min="2" max="2" width="31.7109375" customWidth="1"/>
    <col min="3" max="3" width="3.5703125" customWidth="1"/>
    <col min="4" max="4" width="11.140625" customWidth="1"/>
    <col min="5" max="6" width="20.5703125" customWidth="1"/>
    <col min="7" max="8" width="19.7109375" customWidth="1"/>
    <col min="9" max="10" width="8" customWidth="1"/>
    <col min="11" max="11" width="5.28515625" customWidth="1"/>
    <col min="12" max="12" width="4.28515625" customWidth="1"/>
    <col min="13" max="17" width="0" hidden="1" customWidth="1"/>
    <col min="18" max="16384" width="9.140625" hidden="1"/>
  </cols>
  <sheetData>
    <row r="1" spans="1:12" ht="32.25" customHeight="1" x14ac:dyDescent="0.25">
      <c r="A1" s="366"/>
      <c r="B1" s="1654" t="s">
        <v>34</v>
      </c>
      <c r="C1" s="367"/>
      <c r="D1" s="342"/>
      <c r="E1" s="343"/>
      <c r="F1" s="343"/>
      <c r="G1" s="343"/>
      <c r="H1" s="343"/>
      <c r="I1" s="343"/>
      <c r="J1" s="343"/>
      <c r="K1" s="343"/>
      <c r="L1" s="344"/>
    </row>
    <row r="2" spans="1:12" ht="28.5" customHeight="1" x14ac:dyDescent="0.25">
      <c r="A2" s="368"/>
      <c r="B2" s="1655"/>
      <c r="C2" s="369"/>
      <c r="D2" s="345"/>
      <c r="E2" s="346"/>
      <c r="F2" s="346"/>
      <c r="G2" s="346"/>
      <c r="H2" s="346"/>
      <c r="I2" s="346"/>
      <c r="J2" s="346"/>
      <c r="K2" s="346"/>
      <c r="L2" s="347"/>
    </row>
    <row r="3" spans="1:12" ht="29.25" customHeight="1" x14ac:dyDescent="0.25">
      <c r="A3" s="368"/>
      <c r="B3" s="1655"/>
      <c r="C3" s="369"/>
      <c r="D3" s="345"/>
      <c r="E3" s="346"/>
      <c r="F3" s="346"/>
      <c r="G3" s="346"/>
      <c r="H3" s="346"/>
      <c r="I3" s="346"/>
      <c r="J3" s="346"/>
      <c r="K3" s="346"/>
      <c r="L3" s="347"/>
    </row>
    <row r="4" spans="1:12" ht="15" customHeight="1" x14ac:dyDescent="0.25">
      <c r="A4" s="368"/>
      <c r="B4" s="1656" t="str">
        <f>IF(A1="","To reduce the water consumption of a building through the use of water-efficient fixtures, rainwater harvesting, gray water recycling and  associated measures and to ensure a more sustainable management of the effluents","Nhằm giảm thiểu mức tiêu thụ nước trong công trình qua việc sử dụng thiết bị tiết kiệm nước, tận dụng nước mưa, tái sử dụng nước xám và nhiều cách quản lý việc sử dụng nước. ")</f>
        <v>To reduce the water consumption of a building through the use of water-efficient fixtures, rainwater harvesting, gray water recycling and  associated measures and to ensure a more sustainable management of the effluents</v>
      </c>
      <c r="C4" s="370"/>
      <c r="D4" s="345"/>
      <c r="E4" s="1659" t="s">
        <v>391</v>
      </c>
      <c r="F4" s="1659"/>
      <c r="G4" s="1653" t="s">
        <v>392</v>
      </c>
      <c r="H4" s="1653" t="s">
        <v>56</v>
      </c>
      <c r="I4" s="346"/>
      <c r="J4" s="346"/>
      <c r="K4" s="346"/>
      <c r="L4" s="347"/>
    </row>
    <row r="5" spans="1:12" ht="15" customHeight="1" x14ac:dyDescent="0.25">
      <c r="A5" s="368"/>
      <c r="B5" s="1656"/>
      <c r="C5" s="370"/>
      <c r="D5" s="345"/>
      <c r="E5" s="1659"/>
      <c r="F5" s="1659"/>
      <c r="G5" s="1653"/>
      <c r="H5" s="1653"/>
      <c r="I5" s="346"/>
      <c r="J5" s="346"/>
      <c r="K5" s="346"/>
      <c r="L5" s="347"/>
    </row>
    <row r="6" spans="1:12" ht="23.25" customHeight="1" x14ac:dyDescent="0.25">
      <c r="A6" s="368"/>
      <c r="B6" s="1656"/>
      <c r="C6" s="370"/>
      <c r="D6" s="345"/>
      <c r="E6" s="1660" t="s">
        <v>35</v>
      </c>
      <c r="F6" s="1660"/>
      <c r="G6" s="183">
        <v>5</v>
      </c>
      <c r="H6" s="183">
        <f>IF('W-1 Water Efficient Fixtures'!D11="Prescriptive Path",'W-1 Water Efficient Fixtures'!H14,IF('W-1 Water Efficient Fixtures'!D11="Performance Path",'W-1 Water Efficient Fixtures'!H20,0))</f>
        <v>0</v>
      </c>
      <c r="I6" s="346"/>
      <c r="J6" s="346"/>
      <c r="K6" s="346"/>
      <c r="L6" s="347"/>
    </row>
    <row r="7" spans="1:12" ht="23.25" customHeight="1" x14ac:dyDescent="0.25">
      <c r="A7" s="368"/>
      <c r="B7" s="1656"/>
      <c r="C7" s="370"/>
      <c r="D7" s="345"/>
      <c r="E7" s="1660" t="s">
        <v>36</v>
      </c>
      <c r="F7" s="1660"/>
      <c r="G7" s="183">
        <v>2</v>
      </c>
      <c r="H7" s="183">
        <f>IF('W-2 Water Efficient Landscaping'!E11="Prescriptive Path",'W-2 Water Efficient Landscaping'!J16,IF('W-2 Water Efficient Landscaping'!E11="Performance Path",'W-2 Water Efficient Landscaping'!J19,0))</f>
        <v>0</v>
      </c>
      <c r="I7" s="346"/>
      <c r="J7" s="346"/>
      <c r="K7" s="346"/>
      <c r="L7" s="347"/>
    </row>
    <row r="8" spans="1:12" ht="23.25" customHeight="1" x14ac:dyDescent="0.25">
      <c r="A8" s="371"/>
      <c r="B8" s="1656"/>
      <c r="C8" s="370"/>
      <c r="D8" s="345"/>
      <c r="E8" s="1660" t="s">
        <v>1249</v>
      </c>
      <c r="F8" s="1660"/>
      <c r="G8" s="183">
        <v>1</v>
      </c>
      <c r="H8" s="183">
        <f>'W-3 Drinking Water '!G12</f>
        <v>0</v>
      </c>
      <c r="I8" s="346"/>
      <c r="J8" s="346"/>
      <c r="K8" s="346"/>
      <c r="L8" s="347"/>
    </row>
    <row r="9" spans="1:12" ht="23.25" customHeight="1" x14ac:dyDescent="0.25">
      <c r="A9" s="371"/>
      <c r="B9" s="1656"/>
      <c r="C9" s="370"/>
      <c r="D9" s="345"/>
      <c r="E9" s="1660" t="s">
        <v>393</v>
      </c>
      <c r="F9" s="1660"/>
      <c r="G9" s="183">
        <v>4</v>
      </c>
      <c r="H9" s="183">
        <f>SUM('Water BPC'!H11:H13)</f>
        <v>0</v>
      </c>
      <c r="I9" s="364"/>
      <c r="J9" s="364"/>
      <c r="K9" s="364"/>
      <c r="L9" s="365"/>
    </row>
    <row r="10" spans="1:12" ht="24" customHeight="1" x14ac:dyDescent="0.25">
      <c r="A10" s="371"/>
      <c r="B10" s="1656"/>
      <c r="C10" s="370"/>
      <c r="D10" s="345"/>
      <c r="E10" s="105" t="s">
        <v>82</v>
      </c>
      <c r="F10" s="103"/>
      <c r="G10" s="104">
        <f>SUM(G6:G9)</f>
        <v>12</v>
      </c>
      <c r="H10" s="104">
        <f>SUM(H6:H9)</f>
        <v>0</v>
      </c>
      <c r="I10" s="346"/>
      <c r="J10" s="346"/>
      <c r="K10" s="346"/>
      <c r="L10" s="347"/>
    </row>
    <row r="11" spans="1:12" ht="24" customHeight="1" x14ac:dyDescent="0.25">
      <c r="A11" s="371"/>
      <c r="B11" s="1656"/>
      <c r="C11" s="370"/>
      <c r="D11" s="345"/>
      <c r="E11" s="346"/>
      <c r="F11" s="346"/>
      <c r="G11" s="346"/>
      <c r="H11" s="346"/>
      <c r="I11" s="346"/>
      <c r="J11" s="346"/>
      <c r="K11" s="346"/>
      <c r="L11" s="347"/>
    </row>
    <row r="12" spans="1:12" ht="15" customHeight="1" x14ac:dyDescent="0.25">
      <c r="A12" s="371"/>
      <c r="B12" s="372"/>
      <c r="C12" s="373"/>
      <c r="D12" s="345"/>
      <c r="E12" s="346"/>
      <c r="F12" s="346"/>
      <c r="G12" s="346"/>
      <c r="H12" s="346"/>
      <c r="I12" s="346"/>
      <c r="J12" s="346"/>
      <c r="K12" s="346"/>
      <c r="L12" s="347"/>
    </row>
    <row r="13" spans="1:12" ht="15" customHeight="1" x14ac:dyDescent="0.25">
      <c r="A13" s="371"/>
      <c r="B13" s="372"/>
      <c r="C13" s="373"/>
      <c r="D13" s="345"/>
      <c r="E13" s="346"/>
      <c r="F13" s="346"/>
      <c r="G13" s="346"/>
      <c r="H13" s="346"/>
      <c r="I13" s="346"/>
      <c r="J13" s="346"/>
      <c r="K13" s="346"/>
      <c r="L13" s="347"/>
    </row>
    <row r="14" spans="1:12" ht="15" customHeight="1" x14ac:dyDescent="0.25">
      <c r="A14" s="371"/>
      <c r="B14" s="372"/>
      <c r="C14" s="373"/>
      <c r="D14" s="345"/>
      <c r="E14" s="346"/>
      <c r="F14" s="346"/>
      <c r="G14" s="346"/>
      <c r="H14" s="346"/>
      <c r="I14" s="346"/>
      <c r="J14" s="346"/>
      <c r="K14" s="346"/>
      <c r="L14" s="347"/>
    </row>
    <row r="15" spans="1:12" ht="15" customHeight="1" x14ac:dyDescent="0.25">
      <c r="A15" s="1657"/>
      <c r="B15" s="1658"/>
      <c r="C15" s="374"/>
      <c r="D15" s="348"/>
      <c r="E15" s="349"/>
      <c r="F15" s="349"/>
      <c r="G15" s="349"/>
      <c r="H15" s="349"/>
      <c r="I15" s="349"/>
      <c r="J15" s="349"/>
      <c r="K15" s="349"/>
      <c r="L15" s="350"/>
    </row>
    <row r="16" spans="1:12"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sheetData>
  <sheetProtection algorithmName="SHA-512" hashValue="OQ8oiE/qh400JrMgr0tizxG22CxNc8aA+WZbV7Pb2xuxoL5PLoVrOruTRtbS9YGxdUwME6C4ZH7wkFaMbMJ57g==" saltValue="Cap2ZolHvZzecBev0La4zQ==" spinCount="100000" sheet="1" objects="1" scenarios="1"/>
  <mergeCells count="10">
    <mergeCell ref="H4:H5"/>
    <mergeCell ref="B1:B3"/>
    <mergeCell ref="B4:B11"/>
    <mergeCell ref="A15:B15"/>
    <mergeCell ref="E4:F5"/>
    <mergeCell ref="E6:F6"/>
    <mergeCell ref="E7:F7"/>
    <mergeCell ref="E8:F8"/>
    <mergeCell ref="E9:F9"/>
    <mergeCell ref="G4:G5"/>
  </mergeCells>
  <hyperlinks>
    <hyperlink ref="E6:F6" location="'W-1 Water Efficient Fixtures'!E3" tooltip="W-1 Water Efficient Fixtures" display="W-1 Water Efficient Fixtures"/>
    <hyperlink ref="E7:F7" location="'W-2 Water Efficient Landscaping'!E3" tooltip="W-2 Water Efficient Landscaping" display="W-2 Water Efficient Landscaping"/>
    <hyperlink ref="E8:F8" location="'W-3 Drinking Water '!E3" tooltip="W-3 Drinking Water " display="W-3 Drinking Water "/>
    <hyperlink ref="E9:F9" location="'Water BPC'!D3" tooltip="Best Practice Credits" display="Best Practice Credits"/>
  </hyperlinks>
  <pageMargins left="0.7" right="0.7" top="0.75" bottom="0.75" header="0.3" footer="0.3"/>
  <pageSetup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563C1"/>
  </sheetPr>
  <dimension ref="A1:L288"/>
  <sheetViews>
    <sheetView showRowColHeaders="0" workbookViewId="0">
      <pane ySplit="8" topLeftCell="A9" activePane="bottomLeft" state="frozen"/>
      <selection pane="bottomLeft" activeCell="H14" sqref="H14:I20"/>
    </sheetView>
  </sheetViews>
  <sheetFormatPr defaultColWidth="0" defaultRowHeight="15" zeroHeight="1" x14ac:dyDescent="0.25"/>
  <cols>
    <col min="1" max="1" width="4.5703125" style="42" customWidth="1"/>
    <col min="2" max="2" width="18.7109375" style="42" customWidth="1"/>
    <col min="3" max="3" width="19" style="42" customWidth="1"/>
    <col min="4" max="4" width="17.140625" style="42" customWidth="1"/>
    <col min="5" max="5" width="16.7109375" style="42" customWidth="1"/>
    <col min="6" max="6" width="19.42578125" style="42" customWidth="1"/>
    <col min="7" max="7" width="20.28515625" style="42" customWidth="1"/>
    <col min="8" max="8" width="19.7109375" style="42" customWidth="1"/>
    <col min="9" max="9" width="20.5703125" style="42" customWidth="1"/>
    <col min="10" max="10" width="10.5703125" style="42" customWidth="1"/>
    <col min="11" max="11" width="10.5703125" style="42" hidden="1" customWidth="1"/>
    <col min="12" max="16384" width="9.140625" style="42" hidden="1"/>
  </cols>
  <sheetData>
    <row r="1" spans="1:12" ht="23.25" x14ac:dyDescent="0.25">
      <c r="A1" s="212" t="s">
        <v>35</v>
      </c>
      <c r="B1" s="245"/>
      <c r="C1" s="245"/>
      <c r="D1" s="245"/>
      <c r="E1" s="245"/>
      <c r="F1" s="245"/>
      <c r="G1" s="91"/>
      <c r="H1" s="91"/>
      <c r="I1" s="91"/>
      <c r="J1" s="91"/>
      <c r="K1" s="91"/>
      <c r="L1" s="91"/>
    </row>
    <row r="2" spans="1:12" ht="15" customHeight="1" x14ac:dyDescent="0.25">
      <c r="A2" s="54"/>
      <c r="B2" s="54"/>
      <c r="C2" s="54"/>
      <c r="D2" s="54"/>
      <c r="E2" s="54"/>
      <c r="F2" s="54"/>
      <c r="G2" s="53"/>
      <c r="H2" s="1426" t="s">
        <v>2104</v>
      </c>
      <c r="I2" s="1426"/>
      <c r="J2" s="243" t="s">
        <v>93</v>
      </c>
      <c r="K2" s="239"/>
      <c r="L2" s="53"/>
    </row>
    <row r="3" spans="1:12" ht="15" customHeight="1" x14ac:dyDescent="0.25">
      <c r="A3" s="54"/>
      <c r="B3" s="54"/>
      <c r="C3" s="54"/>
      <c r="D3" s="54"/>
      <c r="E3" s="54"/>
      <c r="F3" s="54"/>
      <c r="G3" s="53"/>
      <c r="H3" s="1426"/>
      <c r="I3" s="1426"/>
      <c r="J3" s="243" t="s">
        <v>97</v>
      </c>
      <c r="K3" s="239"/>
      <c r="L3" s="53"/>
    </row>
    <row r="4" spans="1:12" ht="15" customHeight="1" x14ac:dyDescent="0.25">
      <c r="A4" s="54"/>
      <c r="B4" s="54"/>
      <c r="C4" s="54"/>
      <c r="D4" s="54"/>
      <c r="E4" s="54"/>
      <c r="F4" s="54"/>
      <c r="G4" s="53"/>
      <c r="H4" s="1427"/>
      <c r="I4" s="1427"/>
      <c r="J4" s="243" t="s">
        <v>79</v>
      </c>
      <c r="K4" s="239"/>
      <c r="L4" s="53"/>
    </row>
    <row r="5" spans="1:12" ht="21" customHeight="1" x14ac:dyDescent="0.25">
      <c r="A5" s="1417" t="s">
        <v>2205</v>
      </c>
      <c r="B5" s="1418"/>
      <c r="C5" s="1418"/>
      <c r="D5" s="1418"/>
      <c r="E5" s="1418"/>
      <c r="F5" s="1418"/>
      <c r="G5" s="1418"/>
      <c r="H5" s="1418"/>
      <c r="I5" s="1418"/>
      <c r="J5" s="1418"/>
      <c r="K5" s="193"/>
      <c r="L5" s="194"/>
    </row>
    <row r="6" spans="1:12" ht="21" customHeight="1" x14ac:dyDescent="0.25">
      <c r="A6" s="1420"/>
      <c r="B6" s="1421"/>
      <c r="C6" s="1421"/>
      <c r="D6" s="1421"/>
      <c r="E6" s="1421"/>
      <c r="F6" s="1421"/>
      <c r="G6" s="1421"/>
      <c r="H6" s="1421"/>
      <c r="I6" s="1421"/>
      <c r="J6" s="1421"/>
      <c r="K6" s="195"/>
      <c r="L6" s="196"/>
    </row>
    <row r="7" spans="1:12" ht="21" customHeight="1" x14ac:dyDescent="0.25">
      <c r="A7" s="1423"/>
      <c r="B7" s="1424"/>
      <c r="C7" s="1424"/>
      <c r="D7" s="1424"/>
      <c r="E7" s="1424"/>
      <c r="F7" s="1424"/>
      <c r="G7" s="1424"/>
      <c r="H7" s="1424"/>
      <c r="I7" s="1424"/>
      <c r="J7" s="1424"/>
      <c r="K7" s="197"/>
      <c r="L7" s="198"/>
    </row>
    <row r="8" spans="1:12" ht="12" customHeight="1" x14ac:dyDescent="0.25">
      <c r="A8" s="53"/>
      <c r="B8" s="54"/>
      <c r="C8" s="54"/>
      <c r="D8" s="54"/>
      <c r="E8" s="54"/>
      <c r="F8" s="53"/>
      <c r="G8" s="53"/>
      <c r="H8" s="53"/>
      <c r="I8" s="53"/>
      <c r="J8" s="53"/>
      <c r="K8" s="53"/>
      <c r="L8" s="53"/>
    </row>
    <row r="9" spans="1:12" ht="18" customHeight="1" x14ac:dyDescent="0.25">
      <c r="A9" s="1718" t="s">
        <v>380</v>
      </c>
      <c r="B9" s="1718"/>
      <c r="C9" s="1718"/>
      <c r="D9" s="1718"/>
      <c r="E9" s="1718"/>
      <c r="F9" s="1718"/>
      <c r="G9" s="1718"/>
      <c r="H9" s="1718"/>
      <c r="I9" s="1718"/>
      <c r="J9" s="1718"/>
      <c r="K9" s="39"/>
      <c r="L9" s="39"/>
    </row>
    <row r="10" spans="1:12" x14ac:dyDescent="0.25">
      <c r="A10" s="53"/>
      <c r="B10" s="53"/>
      <c r="C10" s="53"/>
      <c r="D10" s="53"/>
      <c r="E10" s="53"/>
      <c r="F10" s="53"/>
      <c r="G10" s="53"/>
      <c r="H10" s="53"/>
      <c r="I10" s="53"/>
      <c r="J10" s="53"/>
      <c r="K10" s="53"/>
      <c r="L10" s="53"/>
    </row>
    <row r="11" spans="1:12" ht="18" customHeight="1" x14ac:dyDescent="0.25">
      <c r="A11" s="53"/>
      <c r="B11" s="1662" t="s">
        <v>247</v>
      </c>
      <c r="C11" s="1662"/>
      <c r="D11" s="1661" t="s">
        <v>129</v>
      </c>
      <c r="E11" s="1661"/>
      <c r="F11" s="53"/>
      <c r="G11" s="53"/>
      <c r="H11" s="53"/>
      <c r="I11" s="53"/>
      <c r="J11" s="53"/>
      <c r="K11" s="53"/>
      <c r="L11" s="53"/>
    </row>
    <row r="12" spans="1:12" x14ac:dyDescent="0.25">
      <c r="A12" s="53"/>
      <c r="B12" s="53"/>
      <c r="C12" s="53"/>
      <c r="D12" s="53"/>
      <c r="E12" s="53"/>
      <c r="F12" s="53"/>
      <c r="G12" s="53"/>
      <c r="H12" s="53"/>
      <c r="I12" s="53"/>
      <c r="J12" s="53"/>
      <c r="K12" s="53"/>
      <c r="L12" s="53"/>
    </row>
    <row r="13" spans="1:12" ht="18" customHeight="1" x14ac:dyDescent="0.25">
      <c r="A13" s="53"/>
      <c r="B13" s="1671" t="s">
        <v>207</v>
      </c>
      <c r="C13" s="1672"/>
      <c r="D13" s="1672"/>
      <c r="E13" s="1672"/>
      <c r="F13" s="1672"/>
      <c r="G13" s="648" t="s">
        <v>157</v>
      </c>
      <c r="H13" s="648" t="s">
        <v>56</v>
      </c>
      <c r="I13" s="70" t="s">
        <v>521</v>
      </c>
      <c r="J13" s="53"/>
      <c r="K13" s="53"/>
      <c r="L13" s="53"/>
    </row>
    <row r="14" spans="1:12" ht="15" customHeight="1" x14ac:dyDescent="0.25">
      <c r="A14" s="53"/>
      <c r="B14" s="1668" t="s">
        <v>559</v>
      </c>
      <c r="C14" s="1669"/>
      <c r="D14" s="1669"/>
      <c r="E14" s="1669"/>
      <c r="F14" s="1670"/>
      <c r="G14" s="1558">
        <v>5</v>
      </c>
      <c r="H14" s="1558" t="str">
        <f>IF(D11="Prescriptive Path",SUM(H81:H84),"")</f>
        <v/>
      </c>
      <c r="I14" s="1558" t="str">
        <f>C87</f>
        <v/>
      </c>
      <c r="J14" s="53"/>
      <c r="K14" s="53"/>
      <c r="L14" s="53"/>
    </row>
    <row r="15" spans="1:12" ht="15" customHeight="1" x14ac:dyDescent="0.25">
      <c r="A15" s="53"/>
      <c r="B15" s="1673" t="s">
        <v>560</v>
      </c>
      <c r="C15" s="1674" t="s">
        <v>170</v>
      </c>
      <c r="D15" s="1674" t="s">
        <v>170</v>
      </c>
      <c r="E15" s="1674" t="s">
        <v>170</v>
      </c>
      <c r="F15" s="1675" t="s">
        <v>170</v>
      </c>
      <c r="G15" s="1559"/>
      <c r="H15" s="1559"/>
      <c r="I15" s="1559"/>
      <c r="J15" s="53"/>
      <c r="K15" s="53"/>
      <c r="L15" s="53"/>
    </row>
    <row r="16" spans="1:12" ht="15" customHeight="1" x14ac:dyDescent="0.25">
      <c r="A16" s="53"/>
      <c r="B16" s="1673" t="s">
        <v>561</v>
      </c>
      <c r="C16" s="1674" t="s">
        <v>171</v>
      </c>
      <c r="D16" s="1674" t="s">
        <v>171</v>
      </c>
      <c r="E16" s="1674" t="s">
        <v>171</v>
      </c>
      <c r="F16" s="1675" t="s">
        <v>171</v>
      </c>
      <c r="G16" s="1559"/>
      <c r="H16" s="1559"/>
      <c r="I16" s="1559"/>
      <c r="J16" s="53"/>
      <c r="K16" s="53"/>
      <c r="L16" s="53"/>
    </row>
    <row r="17" spans="1:12" ht="15" customHeight="1" x14ac:dyDescent="0.25">
      <c r="A17" s="53"/>
      <c r="B17" s="1622" t="s">
        <v>996</v>
      </c>
      <c r="C17" s="1623" t="s">
        <v>172</v>
      </c>
      <c r="D17" s="1623" t="s">
        <v>172</v>
      </c>
      <c r="E17" s="1623" t="s">
        <v>172</v>
      </c>
      <c r="F17" s="1624" t="s">
        <v>172</v>
      </c>
      <c r="G17" s="1560"/>
      <c r="H17" s="1560"/>
      <c r="I17" s="1560"/>
      <c r="J17" s="53"/>
      <c r="K17" s="53"/>
      <c r="L17" s="53"/>
    </row>
    <row r="18" spans="1:12" x14ac:dyDescent="0.25">
      <c r="A18" s="53"/>
      <c r="B18" s="53"/>
      <c r="C18" s="53"/>
      <c r="D18" s="53"/>
      <c r="E18" s="53"/>
      <c r="F18" s="53"/>
      <c r="G18" s="53"/>
      <c r="H18" s="53"/>
      <c r="I18" s="53"/>
      <c r="J18" s="53"/>
      <c r="K18" s="53"/>
      <c r="L18" s="53"/>
    </row>
    <row r="19" spans="1:12" ht="18" customHeight="1" x14ac:dyDescent="0.25">
      <c r="A19" s="53"/>
      <c r="B19" s="1671" t="s">
        <v>206</v>
      </c>
      <c r="C19" s="1672"/>
      <c r="D19" s="1672"/>
      <c r="E19" s="1672"/>
      <c r="F19" s="1676"/>
      <c r="G19" s="648" t="s">
        <v>157</v>
      </c>
      <c r="H19" s="648" t="s">
        <v>56</v>
      </c>
      <c r="I19" s="70" t="s">
        <v>521</v>
      </c>
      <c r="J19" s="53"/>
      <c r="K19" s="53"/>
      <c r="L19" s="53"/>
    </row>
    <row r="20" spans="1:12" ht="33" customHeight="1" x14ac:dyDescent="0.25">
      <c r="A20" s="53"/>
      <c r="B20" s="1633" t="s">
        <v>300</v>
      </c>
      <c r="C20" s="1634"/>
      <c r="D20" s="1634"/>
      <c r="E20" s="1634"/>
      <c r="F20" s="1635"/>
      <c r="G20" s="78">
        <v>5</v>
      </c>
      <c r="H20" s="59" t="str">
        <f>IF(D11="Performance Path",C163,"")</f>
        <v/>
      </c>
      <c r="I20" s="59" t="str">
        <f>C164</f>
        <v/>
      </c>
      <c r="J20" s="53"/>
      <c r="K20" s="53"/>
      <c r="L20" s="53"/>
    </row>
    <row r="21" spans="1:12" x14ac:dyDescent="0.25">
      <c r="A21" s="53"/>
      <c r="B21" s="53"/>
      <c r="C21" s="53"/>
      <c r="D21" s="53"/>
      <c r="E21" s="53"/>
      <c r="F21" s="53"/>
      <c r="G21" s="53"/>
      <c r="H21" s="53"/>
      <c r="I21" s="53"/>
      <c r="J21" s="53"/>
      <c r="K21" s="53"/>
      <c r="L21" s="53"/>
    </row>
    <row r="22" spans="1:12" ht="18" customHeight="1" x14ac:dyDescent="0.25">
      <c r="A22" s="1718" t="s">
        <v>16</v>
      </c>
      <c r="B22" s="1718"/>
      <c r="C22" s="1718"/>
      <c r="D22" s="1718"/>
      <c r="E22" s="1718"/>
      <c r="F22" s="1718"/>
      <c r="G22" s="1718"/>
      <c r="H22" s="1718"/>
      <c r="I22" s="1718"/>
      <c r="J22" s="1718"/>
      <c r="K22" s="39"/>
      <c r="L22" s="39"/>
    </row>
    <row r="23" spans="1:12" ht="15" customHeight="1" x14ac:dyDescent="0.25">
      <c r="A23" s="296"/>
      <c r="B23" s="213"/>
      <c r="C23" s="213"/>
      <c r="D23" s="213"/>
      <c r="E23" s="213"/>
      <c r="F23" s="213"/>
      <c r="G23" s="213"/>
      <c r="H23" s="213"/>
      <c r="I23" s="213"/>
      <c r="J23" s="213"/>
      <c r="K23" s="213"/>
      <c r="L23" s="53"/>
    </row>
    <row r="24" spans="1:12" ht="16.5" customHeight="1" x14ac:dyDescent="0.25">
      <c r="A24" s="1684" t="s">
        <v>265</v>
      </c>
      <c r="B24" s="1684"/>
      <c r="C24" s="1684"/>
      <c r="D24" s="213"/>
      <c r="E24" s="213"/>
      <c r="F24" s="213"/>
      <c r="G24" s="213"/>
      <c r="H24" s="213"/>
      <c r="I24" s="213"/>
      <c r="J24" s="213"/>
      <c r="K24" s="213"/>
      <c r="L24" s="53"/>
    </row>
    <row r="25" spans="1:12" ht="15" customHeight="1" x14ac:dyDescent="0.25">
      <c r="A25" s="296"/>
      <c r="B25" s="213"/>
      <c r="C25" s="213"/>
      <c r="D25" s="213"/>
      <c r="E25" s="213"/>
      <c r="F25" s="213"/>
      <c r="G25" s="213"/>
      <c r="H25" s="213"/>
      <c r="I25" s="213"/>
      <c r="J25" s="213"/>
      <c r="K25" s="213"/>
      <c r="L25" s="53"/>
    </row>
    <row r="26" spans="1:12" ht="15" customHeight="1" x14ac:dyDescent="0.25">
      <c r="A26" s="296"/>
      <c r="B26" s="690" t="s">
        <v>1421</v>
      </c>
      <c r="C26" s="213"/>
      <c r="D26" s="213"/>
      <c r="E26" s="213"/>
      <c r="F26" s="213"/>
      <c r="G26" s="213"/>
      <c r="H26" s="213"/>
      <c r="I26" s="213"/>
      <c r="J26" s="213"/>
      <c r="K26" s="213"/>
      <c r="L26" s="53"/>
    </row>
    <row r="27" spans="1:12" ht="15" customHeight="1" x14ac:dyDescent="0.25">
      <c r="A27" s="296"/>
      <c r="B27" s="213"/>
      <c r="C27" s="213"/>
      <c r="D27" s="213"/>
      <c r="E27" s="213"/>
      <c r="F27" s="213"/>
      <c r="G27" s="213"/>
      <c r="H27" s="213"/>
      <c r="I27" s="213"/>
      <c r="J27" s="213"/>
      <c r="K27" s="213"/>
      <c r="L27" s="53"/>
    </row>
    <row r="28" spans="1:12" ht="15" customHeight="1" x14ac:dyDescent="0.25">
      <c r="A28" s="296"/>
      <c r="B28" s="1725" t="s">
        <v>1422</v>
      </c>
      <c r="C28" s="1726"/>
      <c r="D28" s="1726"/>
      <c r="E28" s="1726"/>
      <c r="F28" s="1726"/>
      <c r="G28" s="1727"/>
      <c r="H28" s="213"/>
      <c r="I28" s="213"/>
      <c r="J28" s="213"/>
      <c r="K28" s="213"/>
      <c r="L28" s="53"/>
    </row>
    <row r="29" spans="1:12" ht="15" customHeight="1" x14ac:dyDescent="0.25">
      <c r="A29" s="296"/>
      <c r="B29" s="1719" t="s">
        <v>1423</v>
      </c>
      <c r="C29" s="1720"/>
      <c r="D29" s="1720"/>
      <c r="E29" s="1720"/>
      <c r="F29" s="1720"/>
      <c r="G29" s="1721"/>
      <c r="H29" s="213"/>
      <c r="I29" s="213"/>
      <c r="J29" s="213"/>
      <c r="K29" s="213"/>
      <c r="L29" s="53"/>
    </row>
    <row r="30" spans="1:12" ht="15" customHeight="1" x14ac:dyDescent="0.25">
      <c r="A30" s="296"/>
      <c r="B30" s="1719" t="s">
        <v>1424</v>
      </c>
      <c r="C30" s="1720"/>
      <c r="D30" s="1720"/>
      <c r="E30" s="1720"/>
      <c r="F30" s="1720"/>
      <c r="G30" s="1721"/>
      <c r="H30" s="213"/>
      <c r="I30" s="213"/>
      <c r="J30" s="213"/>
      <c r="K30" s="213"/>
      <c r="L30" s="53"/>
    </row>
    <row r="31" spans="1:12" ht="15" customHeight="1" x14ac:dyDescent="0.25">
      <c r="A31" s="296"/>
      <c r="B31" s="1719" t="s">
        <v>1425</v>
      </c>
      <c r="C31" s="1720"/>
      <c r="D31" s="1720"/>
      <c r="E31" s="1720"/>
      <c r="F31" s="1720"/>
      <c r="G31" s="1721"/>
      <c r="H31" s="213"/>
      <c r="I31" s="213"/>
      <c r="J31" s="213"/>
      <c r="K31" s="213"/>
      <c r="L31" s="53"/>
    </row>
    <row r="32" spans="1:12" ht="15" customHeight="1" x14ac:dyDescent="0.25">
      <c r="A32" s="296"/>
      <c r="B32" s="1722" t="s">
        <v>1426</v>
      </c>
      <c r="C32" s="1723"/>
      <c r="D32" s="1723"/>
      <c r="E32" s="1723"/>
      <c r="F32" s="1723"/>
      <c r="G32" s="1724"/>
      <c r="H32" s="213"/>
      <c r="I32" s="213"/>
      <c r="J32" s="213"/>
      <c r="K32" s="213"/>
      <c r="L32" s="53"/>
    </row>
    <row r="33" spans="1:12" ht="16.5" customHeight="1" x14ac:dyDescent="0.25">
      <c r="A33" s="296"/>
      <c r="B33" s="213"/>
      <c r="C33" s="213"/>
      <c r="D33" s="213"/>
      <c r="E33" s="213"/>
      <c r="F33" s="213"/>
      <c r="G33" s="213"/>
      <c r="H33" s="213"/>
      <c r="I33" s="213"/>
      <c r="J33" s="213"/>
      <c r="K33" s="213"/>
      <c r="L33" s="53"/>
    </row>
    <row r="34" spans="1:12" ht="18" customHeight="1" x14ac:dyDescent="0.25">
      <c r="A34" s="1684" t="s">
        <v>26</v>
      </c>
      <c r="B34" s="1684"/>
      <c r="C34" s="1684"/>
      <c r="D34" s="213"/>
      <c r="E34" s="213"/>
      <c r="F34" s="213"/>
      <c r="G34" s="213"/>
      <c r="H34" s="213"/>
      <c r="I34" s="213"/>
      <c r="J34" s="213"/>
      <c r="K34" s="213"/>
      <c r="L34" s="53"/>
    </row>
    <row r="35" spans="1:12" x14ac:dyDescent="0.25">
      <c r="A35" s="213"/>
      <c r="B35" s="213"/>
      <c r="C35" s="213"/>
      <c r="D35" s="213"/>
      <c r="E35" s="213"/>
      <c r="F35" s="213"/>
      <c r="G35" s="213"/>
      <c r="H35" s="213"/>
      <c r="I35" s="213"/>
      <c r="J35" s="213"/>
      <c r="K35" s="213"/>
      <c r="L35" s="53"/>
    </row>
    <row r="36" spans="1:12" x14ac:dyDescent="0.25">
      <c r="A36" s="213"/>
      <c r="B36" s="1532" t="s">
        <v>1463</v>
      </c>
      <c r="C36" s="1682"/>
      <c r="D36" s="1682"/>
      <c r="E36" s="1682"/>
      <c r="F36" s="1682"/>
      <c r="G36" s="213"/>
      <c r="H36" s="213"/>
      <c r="I36" s="213"/>
      <c r="J36" s="213"/>
      <c r="K36" s="213"/>
      <c r="L36" s="53"/>
    </row>
    <row r="37" spans="1:12" x14ac:dyDescent="0.25">
      <c r="A37" s="213"/>
      <c r="B37" s="213"/>
      <c r="C37" s="213"/>
      <c r="D37" s="213"/>
      <c r="E37" s="213"/>
      <c r="F37" s="213"/>
      <c r="G37" s="213"/>
      <c r="H37" s="213"/>
      <c r="I37" s="213"/>
      <c r="J37" s="213"/>
      <c r="K37" s="213"/>
      <c r="L37" s="53"/>
    </row>
    <row r="38" spans="1:12" ht="20.25" customHeight="1" x14ac:dyDescent="0.25">
      <c r="A38" s="213"/>
      <c r="B38" s="1688" t="s">
        <v>178</v>
      </c>
      <c r="C38" s="1689"/>
      <c r="D38" s="1680" t="s">
        <v>1904</v>
      </c>
      <c r="E38" s="1680"/>
      <c r="F38" s="1680" t="s">
        <v>180</v>
      </c>
      <c r="G38" s="1690" t="s">
        <v>182</v>
      </c>
      <c r="H38" s="213"/>
      <c r="I38" s="213"/>
      <c r="J38" s="213"/>
      <c r="K38" s="213"/>
      <c r="L38" s="53"/>
    </row>
    <row r="39" spans="1:12" ht="20.25" customHeight="1" x14ac:dyDescent="0.25">
      <c r="A39" s="213"/>
      <c r="B39" s="789" t="s">
        <v>183</v>
      </c>
      <c r="C39" s="790" t="s">
        <v>175</v>
      </c>
      <c r="D39" s="1681"/>
      <c r="E39" s="1681"/>
      <c r="F39" s="1681"/>
      <c r="G39" s="1691"/>
      <c r="H39" s="213"/>
      <c r="I39" s="213"/>
      <c r="J39" s="213"/>
      <c r="K39" s="213"/>
      <c r="L39" s="53"/>
    </row>
    <row r="40" spans="1:12" x14ac:dyDescent="0.25">
      <c r="A40" s="213"/>
      <c r="B40" s="1665"/>
      <c r="C40" s="1665" t="s">
        <v>129</v>
      </c>
      <c r="D40" s="787" t="s">
        <v>176</v>
      </c>
      <c r="E40" s="728"/>
      <c r="F40" s="788">
        <v>3</v>
      </c>
      <c r="G40" s="1679" t="str">
        <f>IF(C40="Single Flush","No",IF(AND(E40&lt;&gt;"",E41&lt;&gt;""),IF(AND(E40&lt;=F40,E41&lt;=F41),"Yes","No"),""))</f>
        <v/>
      </c>
      <c r="H40" s="213"/>
      <c r="I40" s="213"/>
      <c r="J40" s="213"/>
      <c r="K40" s="213"/>
      <c r="L40" s="53"/>
    </row>
    <row r="41" spans="1:12" x14ac:dyDescent="0.25">
      <c r="A41" s="213"/>
      <c r="B41" s="1666"/>
      <c r="C41" s="1666"/>
      <c r="D41" s="79" t="s">
        <v>177</v>
      </c>
      <c r="E41" s="187"/>
      <c r="F41" s="80">
        <v>4.5</v>
      </c>
      <c r="G41" s="1677"/>
      <c r="H41" s="213"/>
      <c r="I41" s="213"/>
      <c r="J41" s="213"/>
      <c r="K41" s="213"/>
      <c r="L41" s="53"/>
    </row>
    <row r="42" spans="1:12" x14ac:dyDescent="0.25">
      <c r="A42" s="213"/>
      <c r="B42" s="1666"/>
      <c r="C42" s="1666" t="s">
        <v>129</v>
      </c>
      <c r="D42" s="79" t="s">
        <v>176</v>
      </c>
      <c r="E42" s="187"/>
      <c r="F42" s="80">
        <v>3</v>
      </c>
      <c r="G42" s="1677" t="str">
        <f>IF(C42="Single Flush","No",IF(AND(E42&lt;&gt;"",E43&lt;&gt;""),IF(AND(E42&lt;=F42,E43&lt;=F43),"Yes","No"),""))</f>
        <v/>
      </c>
      <c r="H42" s="213"/>
      <c r="I42" s="213"/>
      <c r="J42" s="213"/>
      <c r="K42" s="213"/>
      <c r="L42" s="53"/>
    </row>
    <row r="43" spans="1:12" x14ac:dyDescent="0.25">
      <c r="A43" s="213"/>
      <c r="B43" s="1666"/>
      <c r="C43" s="1666"/>
      <c r="D43" s="79" t="s">
        <v>177</v>
      </c>
      <c r="E43" s="187"/>
      <c r="F43" s="80">
        <v>4.5</v>
      </c>
      <c r="G43" s="1677"/>
      <c r="H43" s="213"/>
      <c r="I43" s="213"/>
      <c r="J43" s="213"/>
      <c r="K43" s="213"/>
      <c r="L43" s="53"/>
    </row>
    <row r="44" spans="1:12" x14ac:dyDescent="0.25">
      <c r="A44" s="213"/>
      <c r="B44" s="1666"/>
      <c r="C44" s="1666" t="s">
        <v>129</v>
      </c>
      <c r="D44" s="79" t="s">
        <v>176</v>
      </c>
      <c r="E44" s="187"/>
      <c r="F44" s="80">
        <v>3</v>
      </c>
      <c r="G44" s="1677" t="str">
        <f>IF(C44="Single Flush","No",IF(AND(E44&lt;&gt;"",E45&lt;&gt;""),IF(AND(E44&lt;=F44,E45&lt;=F45),"Yes","No"),""))</f>
        <v/>
      </c>
      <c r="H44" s="213"/>
      <c r="I44" s="213"/>
      <c r="J44" s="213"/>
      <c r="K44" s="213"/>
      <c r="L44" s="53"/>
    </row>
    <row r="45" spans="1:12" x14ac:dyDescent="0.25">
      <c r="A45" s="213"/>
      <c r="B45" s="1666"/>
      <c r="C45" s="1666"/>
      <c r="D45" s="79" t="s">
        <v>177</v>
      </c>
      <c r="E45" s="187"/>
      <c r="F45" s="80">
        <v>4.5</v>
      </c>
      <c r="G45" s="1678"/>
      <c r="H45" s="213"/>
      <c r="I45" s="213"/>
      <c r="J45" s="213"/>
      <c r="K45" s="213"/>
      <c r="L45" s="53"/>
    </row>
    <row r="46" spans="1:12" ht="16.5" customHeight="1" x14ac:dyDescent="0.25">
      <c r="A46" s="213"/>
      <c r="B46" s="213"/>
      <c r="C46" s="213"/>
      <c r="D46" s="213"/>
      <c r="E46" s="213"/>
      <c r="F46" s="213"/>
      <c r="G46" s="75" t="str">
        <f>IF(COUNTIF(G40:G45,"Yes")=0,"No",IF(COUNTIF(G40:G45,"No")=0,"Yes","No"))</f>
        <v>No</v>
      </c>
      <c r="H46" s="213"/>
      <c r="I46" s="213"/>
      <c r="J46" s="213"/>
      <c r="K46" s="213"/>
      <c r="L46" s="53"/>
    </row>
    <row r="47" spans="1:12" ht="12" customHeight="1" x14ac:dyDescent="0.25">
      <c r="A47" s="213"/>
      <c r="B47" s="213"/>
      <c r="C47" s="213"/>
      <c r="D47" s="213"/>
      <c r="E47" s="213"/>
      <c r="F47" s="213"/>
      <c r="G47" s="213"/>
      <c r="H47" s="213"/>
      <c r="I47" s="213"/>
      <c r="J47" s="213"/>
      <c r="K47" s="213"/>
      <c r="L47" s="53"/>
    </row>
    <row r="48" spans="1:12" ht="33" customHeight="1" x14ac:dyDescent="0.25">
      <c r="A48" s="213"/>
      <c r="B48" s="1663" t="s">
        <v>660</v>
      </c>
      <c r="C48" s="1664"/>
      <c r="D48" s="1667" t="s">
        <v>179</v>
      </c>
      <c r="E48" s="1667"/>
      <c r="F48" s="730" t="s">
        <v>181</v>
      </c>
      <c r="G48" s="725" t="s">
        <v>182</v>
      </c>
      <c r="H48" s="213"/>
      <c r="I48" s="213"/>
      <c r="J48" s="213"/>
      <c r="K48" s="213"/>
      <c r="L48" s="53"/>
    </row>
    <row r="49" spans="1:12" x14ac:dyDescent="0.25">
      <c r="A49" s="213"/>
      <c r="B49" s="1665"/>
      <c r="C49" s="1665"/>
      <c r="D49" s="1665"/>
      <c r="E49" s="1665"/>
      <c r="F49" s="727">
        <v>0.14000000000000001</v>
      </c>
      <c r="G49" s="727" t="str">
        <f>IF(D49&lt;&gt;"",IF(D49&lt;=F49,"Yes","No"),"")</f>
        <v/>
      </c>
      <c r="H49" s="213"/>
      <c r="I49" s="213"/>
      <c r="J49" s="213"/>
      <c r="K49" s="213"/>
      <c r="L49" s="53"/>
    </row>
    <row r="50" spans="1:12" x14ac:dyDescent="0.25">
      <c r="A50" s="213"/>
      <c r="B50" s="1666"/>
      <c r="C50" s="1666"/>
      <c r="D50" s="1666"/>
      <c r="E50" s="1666"/>
      <c r="F50" s="92">
        <v>0.14000000000000001</v>
      </c>
      <c r="G50" s="92" t="str">
        <f>IF(D50&lt;&gt;"",IF(D50&lt;=F50,"Yes","No"),"")</f>
        <v/>
      </c>
      <c r="H50" s="213"/>
      <c r="I50" s="213"/>
      <c r="J50" s="213"/>
      <c r="K50" s="213"/>
      <c r="L50" s="53"/>
    </row>
    <row r="51" spans="1:12" x14ac:dyDescent="0.25">
      <c r="A51" s="213"/>
      <c r="B51" s="1666"/>
      <c r="C51" s="1666"/>
      <c r="D51" s="1666"/>
      <c r="E51" s="1666"/>
      <c r="F51" s="92">
        <v>0.14000000000000001</v>
      </c>
      <c r="G51" s="92" t="str">
        <f>IF(D51&lt;&gt;"",IF(D51&lt;=F51,"Yes","No"),"")</f>
        <v/>
      </c>
      <c r="H51" s="213"/>
      <c r="I51" s="213"/>
      <c r="J51" s="213"/>
      <c r="K51" s="213"/>
      <c r="L51" s="53"/>
    </row>
    <row r="52" spans="1:12" ht="16.5" customHeight="1" x14ac:dyDescent="0.25">
      <c r="A52" s="213"/>
      <c r="B52" s="213"/>
      <c r="C52" s="213"/>
      <c r="D52" s="213"/>
      <c r="E52" s="213"/>
      <c r="F52" s="213"/>
      <c r="G52" s="75" t="str">
        <f>IF(COUNTIF(G49:G51,"Yes")=0,"No",IF(COUNTIF(G49:G51,"No")=0,"Yes","No"))</f>
        <v>No</v>
      </c>
      <c r="H52" s="213"/>
      <c r="I52" s="213"/>
      <c r="J52" s="213"/>
      <c r="K52" s="213"/>
      <c r="L52" s="53"/>
    </row>
    <row r="53" spans="1:12" ht="12" customHeight="1" x14ac:dyDescent="0.25">
      <c r="A53" s="213"/>
      <c r="B53" s="213"/>
      <c r="C53" s="213"/>
      <c r="D53" s="213"/>
      <c r="E53" s="213"/>
      <c r="F53" s="213"/>
      <c r="G53" s="213"/>
      <c r="H53" s="213"/>
      <c r="I53" s="213"/>
      <c r="J53" s="213"/>
      <c r="K53" s="213"/>
      <c r="L53" s="53"/>
    </row>
    <row r="54" spans="1:12" ht="33" customHeight="1" x14ac:dyDescent="0.25">
      <c r="A54" s="213"/>
      <c r="B54" s="1663" t="s">
        <v>184</v>
      </c>
      <c r="C54" s="1664"/>
      <c r="D54" s="1667" t="s">
        <v>179</v>
      </c>
      <c r="E54" s="1667"/>
      <c r="F54" s="730" t="s">
        <v>181</v>
      </c>
      <c r="G54" s="725" t="s">
        <v>182</v>
      </c>
      <c r="H54" s="213"/>
      <c r="I54" s="213"/>
      <c r="J54" s="213"/>
      <c r="K54" s="213"/>
      <c r="L54" s="53"/>
    </row>
    <row r="55" spans="1:12" x14ac:dyDescent="0.25">
      <c r="A55" s="213"/>
      <c r="B55" s="1666"/>
      <c r="C55" s="1666"/>
      <c r="D55" s="1666"/>
      <c r="E55" s="1666"/>
      <c r="F55" s="92">
        <v>0.12</v>
      </c>
      <c r="G55" s="92" t="str">
        <f>IF(D55&lt;&gt;"",IF(D55&lt;=F55,"Yes","No"),"")</f>
        <v/>
      </c>
      <c r="H55" s="213"/>
      <c r="I55" s="213"/>
      <c r="J55" s="213"/>
      <c r="K55" s="213"/>
      <c r="L55" s="53"/>
    </row>
    <row r="56" spans="1:12" x14ac:dyDescent="0.25">
      <c r="A56" s="213"/>
      <c r="B56" s="1666"/>
      <c r="C56" s="1666"/>
      <c r="D56" s="1666"/>
      <c r="E56" s="1666"/>
      <c r="F56" s="92">
        <v>0.12</v>
      </c>
      <c r="G56" s="92" t="str">
        <f>IF(D56&lt;&gt;"",IF(D56&lt;=F56,"Yes","No"),"")</f>
        <v/>
      </c>
      <c r="H56" s="213"/>
      <c r="I56" s="213"/>
      <c r="J56" s="213"/>
      <c r="K56" s="213"/>
      <c r="L56" s="53"/>
    </row>
    <row r="57" spans="1:12" x14ac:dyDescent="0.25">
      <c r="A57" s="213"/>
      <c r="B57" s="1666"/>
      <c r="C57" s="1666"/>
      <c r="D57" s="1666"/>
      <c r="E57" s="1666"/>
      <c r="F57" s="92">
        <v>0.12</v>
      </c>
      <c r="G57" s="92" t="str">
        <f>IF(D57&lt;&gt;"",IF(D57&lt;=F57,"Yes","No"),"")</f>
        <v/>
      </c>
      <c r="H57" s="213"/>
      <c r="I57" s="213"/>
      <c r="J57" s="213"/>
      <c r="K57" s="213"/>
      <c r="L57" s="53"/>
    </row>
    <row r="58" spans="1:12" ht="16.5" customHeight="1" x14ac:dyDescent="0.25">
      <c r="A58" s="213"/>
      <c r="B58" s="213"/>
      <c r="C58" s="213"/>
      <c r="D58" s="213"/>
      <c r="E58" s="213"/>
      <c r="F58" s="213"/>
      <c r="G58" s="75" t="str">
        <f>IF(COUNTIF(G55:G57,"Yes")=0,"No",IF(COUNTIF(G55:G57,"No")=0,"Yes","No"))</f>
        <v>No</v>
      </c>
      <c r="H58" s="213"/>
      <c r="I58" s="213"/>
      <c r="J58" s="213"/>
      <c r="K58" s="213"/>
      <c r="L58" s="53"/>
    </row>
    <row r="59" spans="1:12" ht="12" customHeight="1" x14ac:dyDescent="0.25">
      <c r="A59" s="213"/>
      <c r="B59" s="213"/>
      <c r="C59" s="213"/>
      <c r="D59" s="213"/>
      <c r="E59" s="213"/>
      <c r="F59" s="213"/>
      <c r="G59" s="213"/>
      <c r="H59" s="213"/>
      <c r="I59" s="213"/>
      <c r="J59" s="213"/>
      <c r="K59" s="213"/>
      <c r="L59" s="53"/>
    </row>
    <row r="60" spans="1:12" ht="33" customHeight="1" x14ac:dyDescent="0.25">
      <c r="A60" s="213"/>
      <c r="B60" s="1663" t="s">
        <v>1427</v>
      </c>
      <c r="C60" s="1664"/>
      <c r="D60" s="1667" t="s">
        <v>179</v>
      </c>
      <c r="E60" s="1667"/>
      <c r="F60" s="730" t="s">
        <v>181</v>
      </c>
      <c r="G60" s="725" t="s">
        <v>182</v>
      </c>
      <c r="H60" s="213"/>
      <c r="I60" s="213"/>
      <c r="J60" s="213"/>
      <c r="K60" s="213"/>
      <c r="L60" s="53"/>
    </row>
    <row r="61" spans="1:12" x14ac:dyDescent="0.25">
      <c r="A61" s="213"/>
      <c r="B61" s="1666"/>
      <c r="C61" s="1666"/>
      <c r="D61" s="1666"/>
      <c r="E61" s="1666"/>
      <c r="F61" s="92">
        <v>0.12</v>
      </c>
      <c r="G61" s="92" t="str">
        <f>IF(D61&lt;&gt;"",IF(D61&lt;=F61,"Yes","No"),"")</f>
        <v/>
      </c>
      <c r="H61" s="213"/>
      <c r="I61" s="213"/>
      <c r="J61" s="213"/>
      <c r="K61" s="213"/>
      <c r="L61" s="53"/>
    </row>
    <row r="62" spans="1:12" x14ac:dyDescent="0.25">
      <c r="A62" s="213"/>
      <c r="B62" s="1666"/>
      <c r="C62" s="1666"/>
      <c r="D62" s="1666"/>
      <c r="E62" s="1666"/>
      <c r="F62" s="92">
        <v>0.12</v>
      </c>
      <c r="G62" s="92" t="str">
        <f>IF(D62&lt;&gt;"",IF(D62&lt;=F62,"Yes","No"),"")</f>
        <v/>
      </c>
      <c r="H62" s="213"/>
      <c r="I62" s="213"/>
      <c r="J62" s="213"/>
      <c r="K62" s="213"/>
      <c r="L62" s="53"/>
    </row>
    <row r="63" spans="1:12" x14ac:dyDescent="0.25">
      <c r="A63" s="213"/>
      <c r="B63" s="1701"/>
      <c r="C63" s="1702"/>
      <c r="D63" s="1666"/>
      <c r="E63" s="1666"/>
      <c r="F63" s="92">
        <v>0.12</v>
      </c>
      <c r="G63" s="92" t="str">
        <f>IF(D63&lt;&gt;"",IF(D63&lt;=F63,"Yes","No"),"")</f>
        <v/>
      </c>
      <c r="H63" s="213"/>
      <c r="I63" s="213"/>
      <c r="J63" s="213"/>
      <c r="K63" s="213"/>
      <c r="L63" s="54"/>
    </row>
    <row r="64" spans="1:12" ht="16.5" customHeight="1" x14ac:dyDescent="0.25">
      <c r="A64" s="213"/>
      <c r="B64" s="213"/>
      <c r="C64" s="213"/>
      <c r="D64" s="213"/>
      <c r="E64" s="213"/>
      <c r="F64" s="213"/>
      <c r="G64" s="75" t="str">
        <f>IF(COUNTIF(G61:G63,"Yes")=0,"No",IF(COUNTIF(G61:G63,"No")=0,"Yes","No"))</f>
        <v>No</v>
      </c>
      <c r="H64" s="213"/>
      <c r="I64" s="213"/>
      <c r="J64" s="213"/>
      <c r="K64" s="213"/>
      <c r="L64" s="54"/>
    </row>
    <row r="65" spans="1:12" ht="12" customHeight="1" x14ac:dyDescent="0.25">
      <c r="A65" s="213"/>
      <c r="B65" s="213"/>
      <c r="C65" s="213"/>
      <c r="D65" s="213"/>
      <c r="E65" s="213"/>
      <c r="F65" s="213"/>
      <c r="G65" s="213"/>
      <c r="H65" s="213"/>
      <c r="I65" s="213"/>
      <c r="J65" s="213"/>
      <c r="K65" s="213"/>
      <c r="L65" s="54"/>
    </row>
    <row r="66" spans="1:12" ht="33" customHeight="1" x14ac:dyDescent="0.25">
      <c r="A66" s="213"/>
      <c r="B66" s="1663" t="s">
        <v>1428</v>
      </c>
      <c r="C66" s="1664"/>
      <c r="D66" s="878" t="s">
        <v>187</v>
      </c>
      <c r="E66" s="878" t="s">
        <v>186</v>
      </c>
      <c r="F66" s="730" t="s">
        <v>185</v>
      </c>
      <c r="G66" s="725" t="s">
        <v>182</v>
      </c>
      <c r="H66" s="213"/>
      <c r="I66" s="213"/>
      <c r="J66" s="213"/>
      <c r="K66" s="213"/>
      <c r="L66" s="54"/>
    </row>
    <row r="67" spans="1:12" x14ac:dyDescent="0.25">
      <c r="A67" s="213"/>
      <c r="B67" s="1666"/>
      <c r="C67" s="1666"/>
      <c r="D67" s="188"/>
      <c r="E67" s="188"/>
      <c r="F67" s="92" t="str">
        <f>IF(E67="","",100*E67/8)</f>
        <v/>
      </c>
      <c r="G67" s="92" t="str">
        <f>IF(AND(E67&lt;&gt;"",D67&lt;&gt;""),IF(D67&lt;=F67,"Yes","No"),"")</f>
        <v/>
      </c>
      <c r="H67" s="213"/>
      <c r="I67" s="213"/>
      <c r="J67" s="213"/>
      <c r="K67" s="213"/>
      <c r="L67" s="54"/>
    </row>
    <row r="68" spans="1:12" x14ac:dyDescent="0.25">
      <c r="A68" s="213"/>
      <c r="B68" s="1666"/>
      <c r="C68" s="1666"/>
      <c r="D68" s="188"/>
      <c r="E68" s="189"/>
      <c r="F68" s="92" t="str">
        <f>IF(E68="","",100*E68/8)</f>
        <v/>
      </c>
      <c r="G68" s="92" t="str">
        <f>IF(D68&lt;&gt;"",IF(D68&lt;=F68,"Yes","No"),"")</f>
        <v/>
      </c>
      <c r="H68" s="213"/>
      <c r="I68" s="213"/>
      <c r="J68" s="213"/>
      <c r="K68" s="213"/>
      <c r="L68" s="54"/>
    </row>
    <row r="69" spans="1:12" x14ac:dyDescent="0.25">
      <c r="A69" s="213"/>
      <c r="B69" s="1666"/>
      <c r="C69" s="1666"/>
      <c r="D69" s="188"/>
      <c r="E69" s="189"/>
      <c r="F69" s="92" t="str">
        <f>IF(E69="","",100*E69/8)</f>
        <v/>
      </c>
      <c r="G69" s="92" t="str">
        <f>IF(D69&lt;&gt;"",IF(D69&lt;=F69,"Yes","No"),"")</f>
        <v/>
      </c>
      <c r="H69" s="213"/>
      <c r="I69" s="213"/>
      <c r="J69" s="213"/>
      <c r="K69" s="213"/>
      <c r="L69" s="54"/>
    </row>
    <row r="70" spans="1:12" ht="16.5" customHeight="1" x14ac:dyDescent="0.25">
      <c r="A70" s="213"/>
      <c r="B70" s="213"/>
      <c r="C70" s="213"/>
      <c r="D70" s="213"/>
      <c r="E70" s="213"/>
      <c r="F70" s="213"/>
      <c r="G70" s="75" t="str">
        <f>IF(COUNTIF(G67:G69,"Yes")=0,"No",IF(COUNTIF(G67:G69,"No")=0,"Yes","No"))</f>
        <v>No</v>
      </c>
      <c r="H70" s="213"/>
      <c r="I70" s="213"/>
      <c r="J70" s="213"/>
      <c r="K70" s="213"/>
      <c r="L70" s="54"/>
    </row>
    <row r="71" spans="1:12" x14ac:dyDescent="0.25">
      <c r="A71" s="213"/>
      <c r="B71" s="213"/>
      <c r="C71" s="213"/>
      <c r="D71" s="213"/>
      <c r="E71" s="213"/>
      <c r="F71" s="213"/>
      <c r="G71" s="213"/>
      <c r="H71" s="213"/>
      <c r="I71" s="213"/>
      <c r="J71" s="213"/>
      <c r="K71" s="213"/>
      <c r="L71" s="54"/>
    </row>
    <row r="72" spans="1:12" ht="16.5" customHeight="1" x14ac:dyDescent="0.25">
      <c r="A72" s="1684" t="s">
        <v>200</v>
      </c>
      <c r="B72" s="1684"/>
      <c r="C72" s="1684"/>
      <c r="D72" s="213"/>
      <c r="E72" s="213"/>
      <c r="F72" s="213"/>
      <c r="G72" s="213"/>
      <c r="H72" s="213"/>
      <c r="I72" s="213"/>
      <c r="J72" s="213"/>
      <c r="K72" s="213"/>
      <c r="L72" s="54"/>
    </row>
    <row r="73" spans="1:12" ht="12.75" customHeight="1" x14ac:dyDescent="0.25">
      <c r="A73" s="213"/>
      <c r="B73" s="213"/>
      <c r="C73" s="213"/>
      <c r="D73" s="213"/>
      <c r="E73" s="213"/>
      <c r="F73" s="213"/>
      <c r="G73" s="213"/>
      <c r="H73" s="213"/>
      <c r="I73" s="213"/>
      <c r="J73" s="213"/>
      <c r="K73" s="213"/>
      <c r="L73" s="54"/>
    </row>
    <row r="74" spans="1:12" ht="18" customHeight="1" x14ac:dyDescent="0.25">
      <c r="A74" s="213"/>
      <c r="B74" s="1714" t="s">
        <v>2103</v>
      </c>
      <c r="C74" s="1715"/>
      <c r="D74" s="1715"/>
      <c r="E74" s="1715"/>
      <c r="F74" s="1715"/>
      <c r="G74" s="1046" t="s">
        <v>2101</v>
      </c>
      <c r="H74" s="1716" t="s">
        <v>2102</v>
      </c>
      <c r="I74" s="1717"/>
      <c r="J74" s="213"/>
      <c r="K74" s="213"/>
      <c r="L74" s="54"/>
    </row>
    <row r="75" spans="1:12" ht="28.5" customHeight="1" x14ac:dyDescent="0.25">
      <c r="A75" s="213"/>
      <c r="B75" s="1436" t="s">
        <v>1250</v>
      </c>
      <c r="C75" s="1437"/>
      <c r="D75" s="1437"/>
      <c r="E75" s="1437"/>
      <c r="F75" s="1437"/>
      <c r="G75" s="633" t="s">
        <v>129</v>
      </c>
      <c r="H75" s="1441"/>
      <c r="I75" s="1442"/>
      <c r="J75" s="213"/>
      <c r="K75" s="213"/>
      <c r="L75" s="54"/>
    </row>
    <row r="76" spans="1:12" ht="25.5" customHeight="1" x14ac:dyDescent="0.25">
      <c r="A76" s="213"/>
      <c r="B76" s="1436" t="s">
        <v>1859</v>
      </c>
      <c r="C76" s="1437"/>
      <c r="D76" s="1437"/>
      <c r="E76" s="1437"/>
      <c r="F76" s="1437"/>
      <c r="G76" s="912" t="s">
        <v>129</v>
      </c>
      <c r="H76" s="1441"/>
      <c r="I76" s="1442"/>
      <c r="J76" s="213"/>
      <c r="K76" s="213"/>
      <c r="L76" s="54"/>
    </row>
    <row r="77" spans="1:12" ht="16.5" customHeight="1" x14ac:dyDescent="0.25">
      <c r="A77" s="213"/>
      <c r="B77" s="213"/>
      <c r="C77" s="213"/>
      <c r="D77" s="213"/>
      <c r="E77" s="213"/>
      <c r="F77" s="213"/>
      <c r="G77" s="213"/>
      <c r="H77" s="213"/>
      <c r="I77" s="213"/>
      <c r="J77" s="213"/>
      <c r="K77" s="213"/>
      <c r="L77" s="54"/>
    </row>
    <row r="78" spans="1:12" ht="16.5" customHeight="1" x14ac:dyDescent="0.25">
      <c r="A78" s="1684" t="s">
        <v>25</v>
      </c>
      <c r="B78" s="1684"/>
      <c r="C78" s="1684"/>
      <c r="D78" s="213"/>
      <c r="E78" s="213"/>
      <c r="F78" s="213"/>
      <c r="G78" s="213"/>
      <c r="H78" s="213"/>
      <c r="I78" s="213"/>
      <c r="J78" s="213"/>
      <c r="K78" s="213"/>
      <c r="L78" s="54"/>
    </row>
    <row r="79" spans="1:12" x14ac:dyDescent="0.25">
      <c r="A79" s="213"/>
      <c r="B79" s="213"/>
      <c r="C79" s="213"/>
      <c r="D79" s="213"/>
      <c r="E79" s="213"/>
      <c r="F79" s="213"/>
      <c r="G79" s="213"/>
      <c r="H79" s="213"/>
      <c r="I79" s="213"/>
      <c r="J79" s="213"/>
      <c r="K79" s="213"/>
      <c r="L79" s="53"/>
    </row>
    <row r="80" spans="1:12" ht="18" customHeight="1" x14ac:dyDescent="0.25">
      <c r="A80" s="213"/>
      <c r="B80" s="1685" t="s">
        <v>208</v>
      </c>
      <c r="C80" s="1686"/>
      <c r="D80" s="1686"/>
      <c r="E80" s="1686"/>
      <c r="F80" s="1686"/>
      <c r="G80" s="650" t="s">
        <v>182</v>
      </c>
      <c r="H80" s="731" t="s">
        <v>56</v>
      </c>
      <c r="I80" s="213"/>
      <c r="J80" s="213"/>
      <c r="K80" s="213"/>
      <c r="L80" s="53"/>
    </row>
    <row r="81" spans="1:12" ht="16.5" customHeight="1" x14ac:dyDescent="0.25">
      <c r="A81" s="213"/>
      <c r="B81" s="1687" t="s">
        <v>1464</v>
      </c>
      <c r="C81" s="1687"/>
      <c r="D81" s="1687"/>
      <c r="E81" s="1687"/>
      <c r="F81" s="1687"/>
      <c r="G81" s="432" t="str">
        <f>G46</f>
        <v>No</v>
      </c>
      <c r="H81" s="791">
        <f>IF(G81="Yes",1,0)</f>
        <v>0</v>
      </c>
      <c r="I81" s="213"/>
      <c r="J81" s="213"/>
      <c r="K81" s="213"/>
      <c r="L81" s="53"/>
    </row>
    <row r="82" spans="1:12" ht="16.5" customHeight="1" x14ac:dyDescent="0.25">
      <c r="A82" s="213"/>
      <c r="B82" s="1683" t="s">
        <v>1465</v>
      </c>
      <c r="C82" s="1683" t="s">
        <v>170</v>
      </c>
      <c r="D82" s="1683" t="s">
        <v>170</v>
      </c>
      <c r="E82" s="1683" t="s">
        <v>170</v>
      </c>
      <c r="F82" s="1683" t="s">
        <v>170</v>
      </c>
      <c r="G82" s="67" t="str">
        <f>G52</f>
        <v>No</v>
      </c>
      <c r="H82" s="93">
        <f>IF(G82="Yes",2,0)</f>
        <v>0</v>
      </c>
      <c r="I82" s="213"/>
      <c r="J82" s="213"/>
      <c r="K82" s="213"/>
      <c r="L82" s="53"/>
    </row>
    <row r="83" spans="1:12" ht="16.5" customHeight="1" x14ac:dyDescent="0.25">
      <c r="A83" s="213"/>
      <c r="B83" s="1683" t="s">
        <v>1466</v>
      </c>
      <c r="C83" s="1683" t="s">
        <v>171</v>
      </c>
      <c r="D83" s="1683" t="s">
        <v>171</v>
      </c>
      <c r="E83" s="1683" t="s">
        <v>171</v>
      </c>
      <c r="F83" s="1683" t="s">
        <v>171</v>
      </c>
      <c r="G83" s="67" t="str">
        <f>IF(AND(G58="Yes",G64="Yes"),"Yes","No")</f>
        <v>No</v>
      </c>
      <c r="H83" s="93">
        <f>IF(G83="Yes",1,0)</f>
        <v>0</v>
      </c>
      <c r="I83" s="213"/>
      <c r="J83" s="213"/>
      <c r="K83" s="213"/>
      <c r="L83" s="53"/>
    </row>
    <row r="84" spans="1:12" ht="16.5" customHeight="1" x14ac:dyDescent="0.25">
      <c r="A84" s="213"/>
      <c r="B84" s="1683" t="s">
        <v>1467</v>
      </c>
      <c r="C84" s="1683" t="s">
        <v>172</v>
      </c>
      <c r="D84" s="1683" t="s">
        <v>172</v>
      </c>
      <c r="E84" s="1683" t="s">
        <v>172</v>
      </c>
      <c r="F84" s="1683" t="s">
        <v>172</v>
      </c>
      <c r="G84" s="67" t="str">
        <f>IF(G70="Yes","Yes","No")</f>
        <v>No</v>
      </c>
      <c r="H84" s="93">
        <f>IF(G84="Yes",1,0)</f>
        <v>0</v>
      </c>
      <c r="I84" s="213"/>
      <c r="J84" s="213"/>
      <c r="K84" s="213"/>
      <c r="L84" s="53"/>
    </row>
    <row r="85" spans="1:12" x14ac:dyDescent="0.25">
      <c r="A85" s="213"/>
      <c r="B85" s="213"/>
      <c r="C85" s="213"/>
      <c r="D85" s="213"/>
      <c r="E85" s="213"/>
      <c r="F85" s="213"/>
      <c r="G85" s="213"/>
      <c r="H85" s="213"/>
      <c r="I85" s="213"/>
      <c r="J85" s="213"/>
      <c r="K85" s="213"/>
      <c r="L85" s="54"/>
    </row>
    <row r="86" spans="1:12" ht="18" customHeight="1" x14ac:dyDescent="0.25">
      <c r="A86" s="213"/>
      <c r="B86" s="201" t="s">
        <v>56</v>
      </c>
      <c r="C86" s="12" t="str">
        <f>IF(D11="Prescriptive Path",SUM(H81:H84),"")</f>
        <v/>
      </c>
      <c r="D86" s="213"/>
      <c r="E86" s="213"/>
      <c r="F86" s="213"/>
      <c r="G86" s="213"/>
      <c r="H86" s="213"/>
      <c r="I86" s="213"/>
      <c r="J86" s="213"/>
      <c r="K86" s="213"/>
      <c r="L86" s="54"/>
    </row>
    <row r="87" spans="1:12" ht="18" customHeight="1" x14ac:dyDescent="0.25">
      <c r="A87" s="213"/>
      <c r="B87" s="208" t="s">
        <v>521</v>
      </c>
      <c r="C87" s="1193" t="str">
        <f>IF(D11="Prescriptive Path",IF(AND(COUNTIF(G75:G76,"Submitted")=2,C86&gt;0),"Yes","No"),"")</f>
        <v/>
      </c>
      <c r="D87" s="213"/>
      <c r="E87" s="213"/>
      <c r="F87" s="213"/>
      <c r="G87" s="213"/>
      <c r="H87" s="213"/>
      <c r="I87" s="213"/>
      <c r="J87" s="213"/>
      <c r="K87" s="213"/>
      <c r="L87" s="54"/>
    </row>
    <row r="88" spans="1:12" ht="19.5" customHeight="1" x14ac:dyDescent="0.25">
      <c r="A88" s="213"/>
      <c r="B88" s="213"/>
      <c r="C88" s="213"/>
      <c r="D88" s="213"/>
      <c r="E88" s="213"/>
      <c r="F88" s="213"/>
      <c r="G88" s="213"/>
      <c r="H88" s="213"/>
      <c r="I88" s="213"/>
      <c r="J88" s="213"/>
      <c r="K88" s="213"/>
      <c r="L88" s="54"/>
    </row>
    <row r="89" spans="1:12" ht="18" customHeight="1" x14ac:dyDescent="0.25">
      <c r="A89" s="1718" t="s">
        <v>15</v>
      </c>
      <c r="B89" s="1718"/>
      <c r="C89" s="1718"/>
      <c r="D89" s="1718"/>
      <c r="E89" s="1718"/>
      <c r="F89" s="1718"/>
      <c r="G89" s="1718"/>
      <c r="H89" s="1718"/>
      <c r="I89" s="1718"/>
      <c r="J89" s="1718"/>
      <c r="K89" s="39"/>
      <c r="L89" s="39"/>
    </row>
    <row r="90" spans="1:12" x14ac:dyDescent="0.25">
      <c r="A90" s="375"/>
      <c r="B90" s="375"/>
      <c r="C90" s="375"/>
      <c r="D90" s="375"/>
      <c r="E90" s="375"/>
      <c r="F90" s="375"/>
      <c r="G90" s="375"/>
      <c r="H90" s="375"/>
      <c r="I90" s="375"/>
      <c r="J90" s="375"/>
      <c r="K90" s="242"/>
      <c r="L90" s="53"/>
    </row>
    <row r="91" spans="1:12" x14ac:dyDescent="0.25">
      <c r="A91" s="1684" t="s">
        <v>265</v>
      </c>
      <c r="B91" s="1684"/>
      <c r="C91" s="1684"/>
      <c r="D91" s="375"/>
      <c r="E91" s="375"/>
      <c r="F91" s="375"/>
      <c r="G91" s="375"/>
      <c r="H91" s="375"/>
      <c r="I91" s="375"/>
      <c r="J91" s="375"/>
      <c r="K91" s="242"/>
      <c r="L91" s="53"/>
    </row>
    <row r="92" spans="1:12" x14ac:dyDescent="0.25">
      <c r="A92" s="792"/>
      <c r="B92" s="793"/>
      <c r="C92" s="793"/>
      <c r="D92" s="375"/>
      <c r="E92" s="375"/>
      <c r="F92" s="375"/>
      <c r="G92" s="375"/>
      <c r="H92" s="375"/>
      <c r="I92" s="375"/>
      <c r="J92" s="375"/>
      <c r="K92" s="242"/>
      <c r="L92" s="53"/>
    </row>
    <row r="93" spans="1:12" x14ac:dyDescent="0.25">
      <c r="A93" s="792"/>
      <c r="B93" s="794" t="s">
        <v>1460</v>
      </c>
      <c r="C93" s="793"/>
      <c r="D93" s="375"/>
      <c r="E93" s="375"/>
      <c r="F93" s="375"/>
      <c r="G93" s="375"/>
      <c r="H93" s="375"/>
      <c r="I93" s="375"/>
      <c r="J93" s="375"/>
      <c r="K93" s="242"/>
      <c r="L93" s="53"/>
    </row>
    <row r="94" spans="1:12" ht="18" customHeight="1" x14ac:dyDescent="0.25">
      <c r="A94" s="792"/>
      <c r="B94" s="794"/>
      <c r="C94" s="793"/>
      <c r="D94" s="375"/>
      <c r="E94" s="375"/>
      <c r="F94" s="375"/>
      <c r="G94" s="375"/>
      <c r="H94" s="375"/>
      <c r="I94" s="375"/>
      <c r="J94" s="375"/>
      <c r="K94" s="242"/>
      <c r="L94" s="53"/>
    </row>
    <row r="95" spans="1:12" ht="17.25" customHeight="1" x14ac:dyDescent="0.25">
      <c r="A95" s="1684" t="s">
        <v>26</v>
      </c>
      <c r="B95" s="1684"/>
      <c r="C95" s="1684"/>
      <c r="D95" s="375"/>
      <c r="E95" s="375"/>
      <c r="F95" s="375"/>
      <c r="G95" s="375"/>
      <c r="H95" s="375"/>
      <c r="I95" s="375"/>
      <c r="J95" s="375"/>
      <c r="K95" s="242"/>
      <c r="L95" s="53"/>
    </row>
    <row r="96" spans="1:12" x14ac:dyDescent="0.25">
      <c r="A96" s="375"/>
      <c r="B96" s="375"/>
      <c r="C96" s="375"/>
      <c r="D96" s="375"/>
      <c r="E96" s="375"/>
      <c r="F96" s="375"/>
      <c r="G96" s="375"/>
      <c r="H96" s="375"/>
      <c r="I96" s="375"/>
      <c r="J96" s="375"/>
      <c r="K96" s="244"/>
      <c r="L96" s="54"/>
    </row>
    <row r="97" spans="1:12" x14ac:dyDescent="0.25">
      <c r="A97" s="375"/>
      <c r="B97" s="375" t="s">
        <v>1461</v>
      </c>
      <c r="C97" s="375"/>
      <c r="D97" s="375"/>
      <c r="E97" s="375"/>
      <c r="F97" s="375"/>
      <c r="G97" s="375"/>
      <c r="H97" s="375"/>
      <c r="I97" s="375"/>
      <c r="J97" s="375"/>
      <c r="K97" s="244"/>
      <c r="L97" s="54"/>
    </row>
    <row r="98" spans="1:12" x14ac:dyDescent="0.25">
      <c r="A98" s="375"/>
      <c r="B98" s="375" t="s">
        <v>1462</v>
      </c>
      <c r="C98" s="375"/>
      <c r="D98" s="375"/>
      <c r="E98" s="375"/>
      <c r="F98" s="375"/>
      <c r="G98" s="375"/>
      <c r="H98" s="375"/>
      <c r="I98" s="375"/>
      <c r="J98" s="375"/>
      <c r="K98" s="244"/>
      <c r="L98" s="54"/>
    </row>
    <row r="99" spans="1:12" ht="12" customHeight="1" x14ac:dyDescent="0.25">
      <c r="A99" s="375"/>
      <c r="B99" s="375"/>
      <c r="C99" s="375"/>
      <c r="D99" s="375"/>
      <c r="E99" s="375"/>
      <c r="F99" s="375"/>
      <c r="G99" s="375"/>
      <c r="H99" s="375"/>
      <c r="I99" s="375"/>
      <c r="J99" s="375"/>
      <c r="K99" s="244"/>
      <c r="L99" s="54"/>
    </row>
    <row r="100" spans="1:12" x14ac:dyDescent="0.25">
      <c r="A100" s="792"/>
      <c r="B100" s="1703" t="s">
        <v>1448</v>
      </c>
      <c r="C100" s="1703"/>
      <c r="D100" s="1703"/>
      <c r="E100" s="375"/>
      <c r="F100" s="375"/>
      <c r="G100" s="1703" t="s">
        <v>1458</v>
      </c>
      <c r="H100" s="1703"/>
      <c r="I100" s="375"/>
      <c r="J100" s="375"/>
      <c r="K100" s="242"/>
      <c r="L100" s="53"/>
    </row>
    <row r="101" spans="1:12" x14ac:dyDescent="0.25">
      <c r="A101" s="792"/>
      <c r="B101" s="1704" t="s">
        <v>1432</v>
      </c>
      <c r="C101" s="1706" t="s">
        <v>1433</v>
      </c>
      <c r="D101" s="796" t="s">
        <v>1434</v>
      </c>
      <c r="E101" s="375"/>
      <c r="F101" s="375"/>
      <c r="G101" s="1704" t="s">
        <v>1432</v>
      </c>
      <c r="H101" s="1708" t="s">
        <v>1449</v>
      </c>
      <c r="I101" s="375"/>
      <c r="J101" s="375"/>
      <c r="K101" s="242"/>
      <c r="L101" s="53"/>
    </row>
    <row r="102" spans="1:12" x14ac:dyDescent="0.25">
      <c r="A102" s="792"/>
      <c r="B102" s="1705"/>
      <c r="C102" s="1707"/>
      <c r="D102" s="797" t="s">
        <v>1435</v>
      </c>
      <c r="E102" s="375"/>
      <c r="F102" s="375"/>
      <c r="G102" s="1705"/>
      <c r="H102" s="1709"/>
      <c r="I102" s="375"/>
      <c r="J102" s="375"/>
      <c r="K102" s="242"/>
      <c r="L102" s="53"/>
    </row>
    <row r="103" spans="1:12" x14ac:dyDescent="0.25">
      <c r="A103" s="792"/>
      <c r="B103" s="739" t="s">
        <v>1436</v>
      </c>
      <c r="C103" s="739">
        <v>4</v>
      </c>
      <c r="D103" s="739" t="s">
        <v>1036</v>
      </c>
      <c r="E103" s="375"/>
      <c r="F103" s="375"/>
      <c r="G103" s="799" t="s">
        <v>1450</v>
      </c>
      <c r="H103" s="799" t="s">
        <v>1451</v>
      </c>
      <c r="I103" s="375"/>
      <c r="J103" s="375"/>
      <c r="K103" s="242"/>
      <c r="L103" s="53"/>
    </row>
    <row r="104" spans="1:12" ht="25.5" x14ac:dyDescent="0.25">
      <c r="A104" s="792"/>
      <c r="B104" s="739" t="s">
        <v>1437</v>
      </c>
      <c r="C104" s="739" t="s">
        <v>1438</v>
      </c>
      <c r="D104" s="739" t="s">
        <v>1036</v>
      </c>
      <c r="E104" s="375"/>
      <c r="F104" s="375"/>
      <c r="G104" s="739" t="s">
        <v>1452</v>
      </c>
      <c r="H104" s="739" t="s">
        <v>1453</v>
      </c>
      <c r="I104" s="375"/>
      <c r="J104" s="375"/>
      <c r="K104" s="242"/>
      <c r="L104" s="53"/>
    </row>
    <row r="105" spans="1:12" x14ac:dyDescent="0.25">
      <c r="A105" s="792"/>
      <c r="B105" s="739" t="s">
        <v>1439</v>
      </c>
      <c r="C105" s="739">
        <v>7</v>
      </c>
      <c r="D105" s="739" t="s">
        <v>1440</v>
      </c>
      <c r="E105" s="375"/>
      <c r="F105" s="375"/>
      <c r="G105" s="739" t="s">
        <v>1454</v>
      </c>
      <c r="H105" s="739" t="s">
        <v>1455</v>
      </c>
      <c r="I105" s="375"/>
      <c r="J105" s="375"/>
      <c r="K105" s="242"/>
      <c r="L105" s="53"/>
    </row>
    <row r="106" spans="1:12" x14ac:dyDescent="0.25">
      <c r="A106" s="792"/>
      <c r="B106" s="739" t="s">
        <v>1441</v>
      </c>
      <c r="C106" s="739">
        <v>1</v>
      </c>
      <c r="D106" s="739" t="s">
        <v>1442</v>
      </c>
      <c r="E106" s="375"/>
      <c r="F106" s="375"/>
      <c r="G106" s="739" t="s">
        <v>1456</v>
      </c>
      <c r="H106" s="739" t="s">
        <v>1453</v>
      </c>
      <c r="I106" s="375"/>
      <c r="J106" s="375"/>
      <c r="K106" s="242"/>
      <c r="L106" s="53"/>
    </row>
    <row r="107" spans="1:12" ht="25.5" x14ac:dyDescent="0.25">
      <c r="A107" s="792"/>
      <c r="B107" s="739" t="s">
        <v>1443</v>
      </c>
      <c r="C107" s="739">
        <v>4</v>
      </c>
      <c r="D107" s="739" t="s">
        <v>1444</v>
      </c>
      <c r="E107" s="375"/>
      <c r="F107" s="375"/>
      <c r="G107" s="739" t="s">
        <v>1445</v>
      </c>
      <c r="H107" s="739" t="s">
        <v>1457</v>
      </c>
      <c r="I107" s="375"/>
      <c r="J107" s="375"/>
      <c r="K107" s="242"/>
      <c r="L107" s="53"/>
    </row>
    <row r="108" spans="1:12" ht="25.5" x14ac:dyDescent="0.25">
      <c r="A108" s="792"/>
      <c r="B108" s="739" t="s">
        <v>1445</v>
      </c>
      <c r="C108" s="739" t="s">
        <v>1446</v>
      </c>
      <c r="D108" s="739" t="s">
        <v>1036</v>
      </c>
      <c r="E108" s="375"/>
      <c r="F108" s="375"/>
      <c r="G108" s="798" t="s">
        <v>1459</v>
      </c>
      <c r="H108" s="375"/>
      <c r="I108" s="375"/>
      <c r="J108" s="375"/>
      <c r="K108" s="242"/>
      <c r="L108" s="53"/>
    </row>
    <row r="109" spans="1:12" x14ac:dyDescent="0.25">
      <c r="A109" s="792"/>
      <c r="B109" s="798" t="s">
        <v>1447</v>
      </c>
      <c r="C109" s="793"/>
      <c r="D109" s="375"/>
      <c r="E109" s="375"/>
      <c r="F109" s="375"/>
      <c r="G109" s="375"/>
      <c r="H109" s="375"/>
      <c r="I109" s="375"/>
      <c r="J109" s="375"/>
      <c r="K109" s="242"/>
      <c r="L109" s="53"/>
    </row>
    <row r="110" spans="1:12" ht="12" customHeight="1" x14ac:dyDescent="0.25">
      <c r="A110" s="792"/>
      <c r="B110" s="798"/>
      <c r="C110" s="793"/>
      <c r="D110" s="375"/>
      <c r="E110" s="375"/>
      <c r="F110" s="375"/>
      <c r="G110" s="375"/>
      <c r="H110" s="375"/>
      <c r="I110" s="375"/>
      <c r="J110" s="375"/>
      <c r="K110" s="242"/>
      <c r="L110" s="53"/>
    </row>
    <row r="111" spans="1:12" x14ac:dyDescent="0.25">
      <c r="A111" s="792"/>
      <c r="B111" s="798"/>
      <c r="C111" s="793"/>
      <c r="D111" s="375"/>
      <c r="E111" s="375"/>
      <c r="F111" s="375"/>
      <c r="G111" s="375"/>
      <c r="H111" s="375"/>
      <c r="I111" s="375"/>
      <c r="J111" s="375"/>
      <c r="K111" s="242"/>
      <c r="L111" s="53"/>
    </row>
    <row r="112" spans="1:12" x14ac:dyDescent="0.25">
      <c r="A112" s="792"/>
      <c r="B112" s="1710" t="s">
        <v>1463</v>
      </c>
      <c r="C112" s="1711"/>
      <c r="D112" s="1711"/>
      <c r="E112" s="1711"/>
      <c r="F112" s="1711"/>
      <c r="G112" s="375"/>
      <c r="H112" s="375"/>
      <c r="I112" s="375"/>
      <c r="J112" s="375"/>
      <c r="K112" s="242"/>
      <c r="L112" s="53"/>
    </row>
    <row r="113" spans="1:12" x14ac:dyDescent="0.25">
      <c r="A113" s="792"/>
      <c r="B113" s="798"/>
      <c r="C113" s="793"/>
      <c r="D113" s="375"/>
      <c r="E113" s="375"/>
      <c r="F113" s="375"/>
      <c r="G113" s="375"/>
      <c r="H113" s="375"/>
      <c r="I113" s="375"/>
      <c r="J113" s="375"/>
      <c r="K113" s="242"/>
      <c r="L113" s="53"/>
    </row>
    <row r="114" spans="1:12" ht="16.5" customHeight="1" x14ac:dyDescent="0.25">
      <c r="A114" s="375"/>
      <c r="B114" s="82" t="s">
        <v>259</v>
      </c>
      <c r="C114" s="94">
        <f>'Project information'!C42</f>
        <v>0</v>
      </c>
      <c r="D114" s="420" t="str">
        <f>IF(C114=0,"Note: Value of the number of occupants should be input in the Project Information sheet.","")</f>
        <v>Note: Value of the number of occupants should be input in the Project Information sheet.</v>
      </c>
      <c r="E114" s="375"/>
      <c r="F114" s="375"/>
      <c r="G114" s="375"/>
      <c r="H114" s="375"/>
      <c r="I114" s="375"/>
      <c r="J114" s="375"/>
      <c r="K114" s="244"/>
      <c r="L114" s="54"/>
    </row>
    <row r="115" spans="1:12" x14ac:dyDescent="0.25">
      <c r="A115" s="375"/>
      <c r="B115" s="375"/>
      <c r="C115" s="375"/>
      <c r="D115" s="375"/>
      <c r="E115" s="375"/>
      <c r="F115" s="375"/>
      <c r="G115" s="375"/>
      <c r="H115" s="375"/>
      <c r="I115" s="375"/>
      <c r="J115" s="375"/>
      <c r="K115" s="244"/>
      <c r="L115" s="54"/>
    </row>
    <row r="116" spans="1:12" ht="20.25" customHeight="1" x14ac:dyDescent="0.25">
      <c r="A116" s="375"/>
      <c r="B116" s="1688" t="s">
        <v>178</v>
      </c>
      <c r="C116" s="1689"/>
      <c r="D116" s="1680" t="s">
        <v>1904</v>
      </c>
      <c r="E116" s="1680"/>
      <c r="F116" s="1680" t="s">
        <v>376</v>
      </c>
      <c r="G116" s="1680" t="s">
        <v>173</v>
      </c>
      <c r="H116" s="1692" t="s">
        <v>174</v>
      </c>
      <c r="I116" s="375"/>
      <c r="J116" s="375"/>
      <c r="K116" s="242"/>
      <c r="L116" s="54"/>
    </row>
    <row r="117" spans="1:12" ht="20.25" customHeight="1" x14ac:dyDescent="0.25">
      <c r="A117" s="375"/>
      <c r="B117" s="789" t="s">
        <v>183</v>
      </c>
      <c r="C117" s="790" t="s">
        <v>175</v>
      </c>
      <c r="D117" s="1681"/>
      <c r="E117" s="1681"/>
      <c r="F117" s="1681"/>
      <c r="G117" s="1681"/>
      <c r="H117" s="1693"/>
      <c r="I117" s="375"/>
      <c r="J117" s="375"/>
      <c r="K117" s="242"/>
      <c r="L117" s="54"/>
    </row>
    <row r="118" spans="1:12" x14ac:dyDescent="0.25">
      <c r="A118" s="375"/>
      <c r="B118" s="1694"/>
      <c r="C118" s="1665" t="s">
        <v>129</v>
      </c>
      <c r="D118" s="787" t="s">
        <v>176</v>
      </c>
      <c r="E118" s="728"/>
      <c r="F118" s="1694"/>
      <c r="G118" s="1695" t="str">
        <f>IF(OR(C118="",F118=""),"",IF(C118="Dual Flush",(E118*3+E119*1)*$C$114*F118/SUM($F$118:$F$123),E119*4*$C$114*F118/SUM($F$118:$F$123)))</f>
        <v/>
      </c>
      <c r="H118" s="1695" t="str">
        <f>IF(OR(C118="",F118=""),"",6*4*$C$114*F118/SUM($F$118:$F$123))</f>
        <v/>
      </c>
      <c r="I118" s="375"/>
      <c r="J118" s="375"/>
      <c r="K118" s="242"/>
      <c r="L118" s="54"/>
    </row>
    <row r="119" spans="1:12" x14ac:dyDescent="0.25">
      <c r="A119" s="375"/>
      <c r="B119" s="1665"/>
      <c r="C119" s="1666"/>
      <c r="D119" s="79" t="s">
        <v>177</v>
      </c>
      <c r="E119" s="187"/>
      <c r="F119" s="1665"/>
      <c r="G119" s="1679"/>
      <c r="H119" s="1679"/>
      <c r="I119" s="375"/>
      <c r="J119" s="375"/>
      <c r="K119" s="242"/>
      <c r="L119" s="54"/>
    </row>
    <row r="120" spans="1:12" x14ac:dyDescent="0.25">
      <c r="A120" s="375"/>
      <c r="B120" s="1696"/>
      <c r="C120" s="1666" t="s">
        <v>129</v>
      </c>
      <c r="D120" s="79" t="s">
        <v>176</v>
      </c>
      <c r="E120" s="187"/>
      <c r="F120" s="1696"/>
      <c r="G120" s="1678" t="str">
        <f>IF(OR(C120="",F120=""),"",IF(C120="Dual Flush",(E120*3+E121*1)*$C$114*F120/SUM($F$118:$F$123),E121*4*$C$114*F120/SUM($F$118:$F$123)))</f>
        <v/>
      </c>
      <c r="H120" s="1678" t="str">
        <f>IF(OR(C120="",F120=""),"",6*4*$C$114*F120/SUM($F$118:$F$123))</f>
        <v/>
      </c>
      <c r="I120" s="375"/>
      <c r="J120" s="375"/>
      <c r="K120" s="242"/>
      <c r="L120" s="54"/>
    </row>
    <row r="121" spans="1:12" x14ac:dyDescent="0.25">
      <c r="A121" s="375"/>
      <c r="B121" s="1665"/>
      <c r="C121" s="1666"/>
      <c r="D121" s="79" t="s">
        <v>177</v>
      </c>
      <c r="E121" s="187"/>
      <c r="F121" s="1665"/>
      <c r="G121" s="1679"/>
      <c r="H121" s="1679"/>
      <c r="I121" s="375"/>
      <c r="J121" s="375"/>
      <c r="K121" s="242"/>
      <c r="L121" s="54"/>
    </row>
    <row r="122" spans="1:12" x14ac:dyDescent="0.25">
      <c r="A122" s="375"/>
      <c r="B122" s="1697"/>
      <c r="C122" s="1666" t="s">
        <v>129</v>
      </c>
      <c r="D122" s="79" t="s">
        <v>176</v>
      </c>
      <c r="E122" s="187"/>
      <c r="F122" s="1696"/>
      <c r="G122" s="1678" t="str">
        <f>IF(OR(C122="",F122=""),"",IF(C122="Dual Flush",(E122*3+E123*1)*$C$114*F122/SUM($F$118:$F$123),E123*4*$C$114*F122/SUM($F$118:$F$123)))</f>
        <v/>
      </c>
      <c r="H122" s="1678" t="str">
        <f>IF(OR(C122="",F122=""),"",6*4*$C$114*F122/SUM($F$118:$F$123))</f>
        <v/>
      </c>
      <c r="I122" s="375"/>
      <c r="J122" s="375"/>
      <c r="K122" s="242"/>
      <c r="L122" s="54"/>
    </row>
    <row r="123" spans="1:12" x14ac:dyDescent="0.25">
      <c r="A123" s="375"/>
      <c r="B123" s="1698"/>
      <c r="C123" s="1666"/>
      <c r="D123" s="79" t="s">
        <v>177</v>
      </c>
      <c r="E123" s="187"/>
      <c r="F123" s="1665"/>
      <c r="G123" s="1679"/>
      <c r="H123" s="1679"/>
      <c r="I123" s="375"/>
      <c r="J123" s="375"/>
      <c r="K123" s="242"/>
      <c r="L123" s="54"/>
    </row>
    <row r="124" spans="1:12" ht="16.5" customHeight="1" x14ac:dyDescent="0.25">
      <c r="A124" s="375"/>
      <c r="B124" s="375"/>
      <c r="C124" s="375"/>
      <c r="D124" s="375"/>
      <c r="E124" s="375"/>
      <c r="F124" s="375"/>
      <c r="G124" s="75">
        <f>SUM(G118:G123)</f>
        <v>0</v>
      </c>
      <c r="H124" s="75">
        <f>SUM(H118:H123)</f>
        <v>0</v>
      </c>
      <c r="I124" s="375"/>
      <c r="J124" s="375"/>
      <c r="K124" s="242"/>
      <c r="L124" s="54"/>
    </row>
    <row r="125" spans="1:12" ht="12" customHeight="1" x14ac:dyDescent="0.25">
      <c r="A125" s="375"/>
      <c r="B125" s="375"/>
      <c r="C125" s="375"/>
      <c r="D125" s="375"/>
      <c r="E125" s="375"/>
      <c r="F125" s="375"/>
      <c r="G125" s="375"/>
      <c r="H125" s="375"/>
      <c r="I125" s="375"/>
      <c r="J125" s="375"/>
      <c r="K125" s="242"/>
      <c r="L125" s="54"/>
    </row>
    <row r="126" spans="1:12" ht="33" customHeight="1" x14ac:dyDescent="0.25">
      <c r="A126" s="375"/>
      <c r="B126" s="1663" t="s">
        <v>660</v>
      </c>
      <c r="C126" s="1664"/>
      <c r="D126" s="1667" t="s">
        <v>179</v>
      </c>
      <c r="E126" s="1667"/>
      <c r="F126" s="730" t="s">
        <v>376</v>
      </c>
      <c r="G126" s="730" t="s">
        <v>173</v>
      </c>
      <c r="H126" s="795" t="s">
        <v>174</v>
      </c>
      <c r="I126" s="375"/>
      <c r="J126" s="375"/>
      <c r="K126" s="242"/>
      <c r="L126" s="54"/>
    </row>
    <row r="127" spans="1:12" x14ac:dyDescent="0.25">
      <c r="A127" s="375"/>
      <c r="B127" s="1699"/>
      <c r="C127" s="1700"/>
      <c r="D127" s="1699"/>
      <c r="E127" s="1700"/>
      <c r="F127" s="726"/>
      <c r="G127" s="727" t="str">
        <f>IF(OR(D127="",F127=""),"",D127*480*$C$114*F127/SUM($F$127:$F$129))</f>
        <v/>
      </c>
      <c r="H127" s="727" t="str">
        <f>IF(OR(D127="",F127=""),"",0.16*480*$C$114*F127/SUM($F$127:$F$129))</f>
        <v/>
      </c>
      <c r="I127" s="375"/>
      <c r="J127" s="375"/>
      <c r="K127" s="242"/>
      <c r="L127" s="54"/>
    </row>
    <row r="128" spans="1:12" x14ac:dyDescent="0.25">
      <c r="A128" s="375"/>
      <c r="B128" s="1701"/>
      <c r="C128" s="1702"/>
      <c r="D128" s="1701"/>
      <c r="E128" s="1702"/>
      <c r="F128" s="200"/>
      <c r="G128" s="112" t="str">
        <f>IF(OR(D128="",F128=""),"",D128*480*$C$114*F128/SUM($F$127:$F$129))</f>
        <v/>
      </c>
      <c r="H128" s="112" t="str">
        <f>IF(OR(D128="",F128=""),"",0.16*480*$C$114*F128/SUM($F$127:$F$129))</f>
        <v/>
      </c>
      <c r="I128" s="375"/>
      <c r="J128" s="375"/>
      <c r="K128" s="242"/>
      <c r="L128" s="54"/>
    </row>
    <row r="129" spans="1:12" x14ac:dyDescent="0.25">
      <c r="A129" s="375"/>
      <c r="B129" s="1701"/>
      <c r="C129" s="1702"/>
      <c r="D129" s="1701"/>
      <c r="E129" s="1702"/>
      <c r="F129" s="200"/>
      <c r="G129" s="112" t="str">
        <f>IF(OR(D129="",F129=""),"",D129*480*$C$114*F129/SUM($F$127:$F$129))</f>
        <v/>
      </c>
      <c r="H129" s="112" t="str">
        <f>IF(OR(D129="",F129=""),"",0.16*480*$C$114*F129/SUM($F$127:$F$129))</f>
        <v/>
      </c>
      <c r="I129" s="375"/>
      <c r="J129" s="375"/>
      <c r="K129" s="242"/>
      <c r="L129" s="54"/>
    </row>
    <row r="130" spans="1:12" ht="16.5" customHeight="1" x14ac:dyDescent="0.25">
      <c r="A130" s="375"/>
      <c r="B130" s="375"/>
      <c r="C130" s="375"/>
      <c r="D130" s="375"/>
      <c r="E130" s="375"/>
      <c r="F130" s="375"/>
      <c r="G130" s="75">
        <f>SUM(G127:G129)</f>
        <v>0</v>
      </c>
      <c r="H130" s="75">
        <f>SUM(H127:H129)</f>
        <v>0</v>
      </c>
      <c r="I130" s="375"/>
      <c r="J130" s="375"/>
      <c r="K130" s="242"/>
      <c r="L130" s="54"/>
    </row>
    <row r="131" spans="1:12" ht="12" customHeight="1" x14ac:dyDescent="0.25">
      <c r="A131" s="375"/>
      <c r="B131" s="375"/>
      <c r="C131" s="375"/>
      <c r="D131" s="375"/>
      <c r="E131" s="375"/>
      <c r="F131" s="375"/>
      <c r="G131" s="375"/>
      <c r="H131" s="375"/>
      <c r="I131" s="375"/>
      <c r="J131" s="375"/>
      <c r="K131" s="242"/>
      <c r="L131" s="54"/>
    </row>
    <row r="132" spans="1:12" ht="33" customHeight="1" x14ac:dyDescent="0.25">
      <c r="A132" s="375"/>
      <c r="B132" s="1663" t="s">
        <v>184</v>
      </c>
      <c r="C132" s="1664"/>
      <c r="D132" s="1667" t="s">
        <v>179</v>
      </c>
      <c r="E132" s="1667"/>
      <c r="F132" s="730" t="s">
        <v>376</v>
      </c>
      <c r="G132" s="730" t="s">
        <v>173</v>
      </c>
      <c r="H132" s="795" t="s">
        <v>174</v>
      </c>
      <c r="I132" s="375"/>
      <c r="J132" s="375"/>
      <c r="K132" s="242"/>
      <c r="L132" s="54"/>
    </row>
    <row r="133" spans="1:12" x14ac:dyDescent="0.25">
      <c r="A133" s="375"/>
      <c r="B133" s="1701"/>
      <c r="C133" s="1702"/>
      <c r="D133" s="1701"/>
      <c r="E133" s="1702"/>
      <c r="F133" s="200"/>
      <c r="G133" s="112" t="str">
        <f>IF(OR(D133="",F133=""),"",D133*60*$C$114*7*F133/SUM($F$133:$F$135))</f>
        <v/>
      </c>
      <c r="H133" s="112" t="str">
        <f>IF(OR(D133="",F133=""),"",0.14*60*$C$114*7*F133/SUM($F$133:$F$135))</f>
        <v/>
      </c>
      <c r="I133" s="375"/>
      <c r="J133" s="375"/>
      <c r="K133" s="242"/>
      <c r="L133" s="54"/>
    </row>
    <row r="134" spans="1:12" x14ac:dyDescent="0.25">
      <c r="A134" s="375"/>
      <c r="B134" s="1701"/>
      <c r="C134" s="1702"/>
      <c r="D134" s="1701"/>
      <c r="E134" s="1702"/>
      <c r="F134" s="200"/>
      <c r="G134" s="112" t="str">
        <f>IF(OR(D134="",F134=""),"",D134*60*$C$114*7*F134/SUM($F$133:$F$135))</f>
        <v/>
      </c>
      <c r="H134" s="112" t="str">
        <f>IF(OR(D134="",F134=""),"",0.14*60*$C$114*7*F134/SUM($F$133:$F$135))</f>
        <v/>
      </c>
      <c r="I134" s="375"/>
      <c r="J134" s="375"/>
      <c r="K134" s="242"/>
      <c r="L134" s="54"/>
    </row>
    <row r="135" spans="1:12" x14ac:dyDescent="0.25">
      <c r="A135" s="375"/>
      <c r="B135" s="1701"/>
      <c r="C135" s="1702"/>
      <c r="D135" s="1701"/>
      <c r="E135" s="1702"/>
      <c r="F135" s="200"/>
      <c r="G135" s="112" t="str">
        <f>IF(OR(D135="",F135=""),"",D135*60*$C$114*7*F135/SUM($F$133:$F$135))</f>
        <v/>
      </c>
      <c r="H135" s="112" t="str">
        <f>IF(OR(D135="",F135=""),"",0.14*60*$C$114*7*F135/SUM($F$133:$F$135))</f>
        <v/>
      </c>
      <c r="I135" s="375"/>
      <c r="J135" s="375"/>
      <c r="K135" s="242"/>
      <c r="L135" s="54"/>
    </row>
    <row r="136" spans="1:12" ht="16.5" customHeight="1" x14ac:dyDescent="0.25">
      <c r="A136" s="375"/>
      <c r="B136" s="375"/>
      <c r="C136" s="375"/>
      <c r="D136" s="375"/>
      <c r="E136" s="375"/>
      <c r="F136" s="375"/>
      <c r="G136" s="75">
        <f>SUM(G133:G135)</f>
        <v>0</v>
      </c>
      <c r="H136" s="75">
        <f>SUM(H133:H135)</f>
        <v>0</v>
      </c>
      <c r="I136" s="375"/>
      <c r="J136" s="375"/>
      <c r="K136" s="242"/>
      <c r="L136" s="54"/>
    </row>
    <row r="137" spans="1:12" ht="12" customHeight="1" x14ac:dyDescent="0.25">
      <c r="A137" s="375"/>
      <c r="B137" s="375"/>
      <c r="C137" s="375"/>
      <c r="D137" s="375"/>
      <c r="E137" s="375"/>
      <c r="F137" s="375"/>
      <c r="G137" s="375"/>
      <c r="H137" s="375"/>
      <c r="I137" s="375"/>
      <c r="J137" s="375"/>
      <c r="K137" s="242"/>
      <c r="L137" s="54"/>
    </row>
    <row r="138" spans="1:12" ht="33" customHeight="1" x14ac:dyDescent="0.25">
      <c r="A138" s="375"/>
      <c r="B138" s="1663" t="s">
        <v>1427</v>
      </c>
      <c r="C138" s="1664"/>
      <c r="D138" s="1667" t="s">
        <v>179</v>
      </c>
      <c r="E138" s="1667"/>
      <c r="F138" s="730" t="s">
        <v>376</v>
      </c>
      <c r="G138" s="730" t="s">
        <v>173</v>
      </c>
      <c r="H138" s="795" t="s">
        <v>174</v>
      </c>
      <c r="I138" s="375"/>
      <c r="J138" s="375"/>
      <c r="K138" s="242"/>
      <c r="L138" s="54"/>
    </row>
    <row r="139" spans="1:12" x14ac:dyDescent="0.25">
      <c r="A139" s="375"/>
      <c r="B139" s="1701"/>
      <c r="C139" s="1702"/>
      <c r="D139" s="1701"/>
      <c r="E139" s="1702"/>
      <c r="F139" s="200"/>
      <c r="G139" s="112" t="str">
        <f>IF(OR(D139="",F139=""),"",D139*60*$C$114*4*F139/SUM($F$139:$F$141))</f>
        <v/>
      </c>
      <c r="H139" s="112" t="str">
        <f>IF(OR(D139="",F139=""),"",0.14*60*$C$114*4*F139/SUM($F$139:$F$141))</f>
        <v/>
      </c>
      <c r="I139" s="375"/>
      <c r="J139" s="375"/>
      <c r="K139" s="242"/>
      <c r="L139" s="54"/>
    </row>
    <row r="140" spans="1:12" x14ac:dyDescent="0.25">
      <c r="A140" s="375"/>
      <c r="B140" s="1701"/>
      <c r="C140" s="1702"/>
      <c r="D140" s="1701"/>
      <c r="E140" s="1702"/>
      <c r="F140" s="200"/>
      <c r="G140" s="112" t="str">
        <f>IF(OR(D140="",F140=""),"",D140*60*$C$114*4*F140/SUM($F$139:$F$141))</f>
        <v/>
      </c>
      <c r="H140" s="986" t="str">
        <f t="shared" ref="H140:H141" si="0">IF(OR(D140="",F140=""),"",0.14*60*$C$114*4*F140/SUM($F$139:$F$141))</f>
        <v/>
      </c>
      <c r="I140" s="375"/>
      <c r="J140" s="375"/>
      <c r="K140" s="242"/>
      <c r="L140" s="54"/>
    </row>
    <row r="141" spans="1:12" x14ac:dyDescent="0.25">
      <c r="A141" s="375"/>
      <c r="B141" s="1701"/>
      <c r="C141" s="1702"/>
      <c r="D141" s="1701"/>
      <c r="E141" s="1702"/>
      <c r="F141" s="200"/>
      <c r="G141" s="112" t="str">
        <f>IF(OR(D141="",F141=""),"",D141*60*$C$114*4*F141/SUM($F$139:$F$141))</f>
        <v/>
      </c>
      <c r="H141" s="986" t="str">
        <f t="shared" si="0"/>
        <v/>
      </c>
      <c r="I141" s="375"/>
      <c r="J141" s="375"/>
      <c r="K141" s="244"/>
      <c r="L141" s="54"/>
    </row>
    <row r="142" spans="1:12" ht="16.5" customHeight="1" x14ac:dyDescent="0.25">
      <c r="A142" s="375"/>
      <c r="B142" s="375"/>
      <c r="C142" s="375"/>
      <c r="D142" s="375"/>
      <c r="E142" s="375"/>
      <c r="F142" s="375"/>
      <c r="G142" s="75">
        <f>SUM(G139:G141)</f>
        <v>0</v>
      </c>
      <c r="H142" s="75">
        <f>SUM(H139:H141)</f>
        <v>0</v>
      </c>
      <c r="I142" s="375"/>
      <c r="J142" s="375"/>
      <c r="K142" s="244"/>
      <c r="L142" s="54"/>
    </row>
    <row r="143" spans="1:12" ht="12" customHeight="1" x14ac:dyDescent="0.25">
      <c r="A143" s="375"/>
      <c r="B143" s="375"/>
      <c r="C143" s="375"/>
      <c r="D143" s="375"/>
      <c r="E143" s="375"/>
      <c r="F143" s="375"/>
      <c r="G143" s="375"/>
      <c r="H143" s="375"/>
      <c r="I143" s="375"/>
      <c r="J143" s="375"/>
      <c r="K143" s="244"/>
      <c r="L143" s="54"/>
    </row>
    <row r="144" spans="1:12" ht="38.25" x14ac:dyDescent="0.25">
      <c r="A144" s="375"/>
      <c r="B144" s="1663" t="s">
        <v>1428</v>
      </c>
      <c r="C144" s="1664"/>
      <c r="D144" s="878" t="s">
        <v>187</v>
      </c>
      <c r="E144" s="878" t="s">
        <v>186</v>
      </c>
      <c r="F144" s="730" t="s">
        <v>377</v>
      </c>
      <c r="G144" s="730" t="s">
        <v>374</v>
      </c>
      <c r="H144" s="795" t="s">
        <v>375</v>
      </c>
      <c r="I144" s="375"/>
      <c r="J144" s="375"/>
      <c r="K144" s="244"/>
      <c r="L144" s="54"/>
    </row>
    <row r="145" spans="1:12" x14ac:dyDescent="0.25">
      <c r="A145" s="375"/>
      <c r="B145" s="1701"/>
      <c r="C145" s="1702"/>
      <c r="D145" s="246"/>
      <c r="E145" s="246"/>
      <c r="F145" s="246"/>
      <c r="G145" s="74" t="str">
        <f>IF(OR(D145="",E145="",F145=""),"",D145*8/E145*F145/SUM($F$145:$F$147))</f>
        <v/>
      </c>
      <c r="H145" s="112" t="str">
        <f>IF(OR(D145="",E145="",F145=""),"",120*F145/SUM($F$145:$F$147))</f>
        <v/>
      </c>
      <c r="I145" s="375"/>
      <c r="J145" s="375"/>
      <c r="K145" s="244"/>
      <c r="L145" s="54"/>
    </row>
    <row r="146" spans="1:12" x14ac:dyDescent="0.25">
      <c r="A146" s="375"/>
      <c r="B146" s="1701"/>
      <c r="C146" s="1702"/>
      <c r="D146" s="246"/>
      <c r="E146" s="246"/>
      <c r="F146" s="246"/>
      <c r="G146" s="74" t="str">
        <f t="shared" ref="G146:G147" si="1">IF(OR(D146="",E146="",F146=""),"",D146*8/E146*F146/SUM($F$145:$F$147))</f>
        <v/>
      </c>
      <c r="H146" s="986" t="str">
        <f t="shared" ref="H146:H147" si="2">IF(OR(D146="",E146="",F146=""),"",120*F146/SUM($F$145:$F$147))</f>
        <v/>
      </c>
      <c r="I146" s="375"/>
      <c r="J146" s="375"/>
      <c r="K146" s="244"/>
      <c r="L146" s="54"/>
    </row>
    <row r="147" spans="1:12" x14ac:dyDescent="0.25">
      <c r="A147" s="375"/>
      <c r="B147" s="1701"/>
      <c r="C147" s="1702"/>
      <c r="D147" s="246"/>
      <c r="E147" s="246"/>
      <c r="F147" s="246"/>
      <c r="G147" s="74" t="str">
        <f t="shared" si="1"/>
        <v/>
      </c>
      <c r="H147" s="986" t="str">
        <f t="shared" si="2"/>
        <v/>
      </c>
      <c r="I147" s="375"/>
      <c r="J147" s="375"/>
      <c r="K147" s="244"/>
      <c r="L147" s="54"/>
    </row>
    <row r="148" spans="1:12" ht="16.5" customHeight="1" x14ac:dyDescent="0.25">
      <c r="A148" s="375"/>
      <c r="B148" s="375"/>
      <c r="C148" s="375"/>
      <c r="D148" s="375"/>
      <c r="E148" s="375"/>
      <c r="F148" s="375"/>
      <c r="G148" s="76">
        <f>SUM(G145:G147)</f>
        <v>0</v>
      </c>
      <c r="H148" s="75">
        <f>SUM(H145:H147)</f>
        <v>0</v>
      </c>
      <c r="I148" s="375"/>
      <c r="J148" s="375"/>
      <c r="K148" s="244"/>
      <c r="L148" s="54"/>
    </row>
    <row r="149" spans="1:12" ht="12" customHeight="1" x14ac:dyDescent="0.25">
      <c r="A149" s="375"/>
      <c r="B149" s="375"/>
      <c r="C149" s="375"/>
      <c r="D149" s="375"/>
      <c r="E149" s="375"/>
      <c r="F149" s="375"/>
      <c r="G149" s="375"/>
      <c r="H149" s="375"/>
      <c r="I149" s="375"/>
      <c r="J149" s="375"/>
      <c r="K149" s="244"/>
      <c r="L149" s="54"/>
    </row>
    <row r="150" spans="1:12" ht="16.5" customHeight="1" x14ac:dyDescent="0.25">
      <c r="A150" s="375"/>
      <c r="B150" s="1713" t="s">
        <v>378</v>
      </c>
      <c r="C150" s="1713"/>
      <c r="D150" s="76">
        <f>G124+G130+G136+G142+G148</f>
        <v>0</v>
      </c>
      <c r="E150" s="375"/>
      <c r="F150" s="375"/>
      <c r="G150" s="375"/>
      <c r="H150" s="375"/>
      <c r="I150" s="375"/>
      <c r="J150" s="375"/>
      <c r="K150" s="244"/>
      <c r="L150" s="54"/>
    </row>
    <row r="151" spans="1:12" ht="16.5" customHeight="1" x14ac:dyDescent="0.25">
      <c r="A151" s="375"/>
      <c r="B151" s="1713" t="s">
        <v>379</v>
      </c>
      <c r="C151" s="1713"/>
      <c r="D151" s="76">
        <f>H124+H130+H136+H142+H148</f>
        <v>0</v>
      </c>
      <c r="E151" s="375"/>
      <c r="F151" s="375"/>
      <c r="G151" s="375"/>
      <c r="H151" s="375"/>
      <c r="I151" s="375"/>
      <c r="J151" s="375"/>
      <c r="K151" s="244"/>
      <c r="L151" s="54"/>
    </row>
    <row r="152" spans="1:12" x14ac:dyDescent="0.25">
      <c r="A152" s="375"/>
      <c r="B152" s="375"/>
      <c r="C152" s="375"/>
      <c r="D152" s="375"/>
      <c r="E152" s="375"/>
      <c r="F152" s="375"/>
      <c r="G152" s="375"/>
      <c r="H152" s="375"/>
      <c r="I152" s="375"/>
      <c r="J152" s="375"/>
      <c r="K152" s="244"/>
      <c r="L152" s="54"/>
    </row>
    <row r="153" spans="1:12" ht="18.75" customHeight="1" x14ac:dyDescent="0.25">
      <c r="A153" s="375"/>
      <c r="B153" s="1712" t="s">
        <v>789</v>
      </c>
      <c r="C153" s="1712"/>
      <c r="D153" s="1712"/>
      <c r="E153" s="77">
        <f>IF(OR(D150=0,D151=0),0,1-D150/D151)</f>
        <v>0</v>
      </c>
      <c r="F153" s="375"/>
      <c r="G153" s="375"/>
      <c r="H153" s="375"/>
      <c r="I153" s="375"/>
      <c r="J153" s="375"/>
      <c r="K153" s="244"/>
      <c r="L153" s="54"/>
    </row>
    <row r="154" spans="1:12" ht="19.5" customHeight="1" x14ac:dyDescent="0.25">
      <c r="A154" s="375"/>
      <c r="B154" s="375"/>
      <c r="C154" s="375"/>
      <c r="D154" s="375"/>
      <c r="E154" s="375"/>
      <c r="F154" s="375"/>
      <c r="G154" s="375"/>
      <c r="H154" s="375"/>
      <c r="I154" s="375"/>
      <c r="J154" s="375"/>
      <c r="K154" s="244"/>
      <c r="L154" s="54"/>
    </row>
    <row r="155" spans="1:12" ht="16.5" customHeight="1" x14ac:dyDescent="0.25">
      <c r="A155" s="1684" t="s">
        <v>200</v>
      </c>
      <c r="B155" s="1684"/>
      <c r="C155" s="1684"/>
      <c r="D155" s="375"/>
      <c r="E155" s="375"/>
      <c r="F155" s="375"/>
      <c r="G155" s="375"/>
      <c r="H155" s="375"/>
      <c r="I155" s="375"/>
      <c r="J155" s="375"/>
      <c r="K155" s="244"/>
      <c r="L155" s="54"/>
    </row>
    <row r="156" spans="1:12" ht="15" customHeight="1" x14ac:dyDescent="0.25">
      <c r="A156" s="375"/>
      <c r="B156" s="375"/>
      <c r="C156" s="375"/>
      <c r="D156" s="375"/>
      <c r="E156" s="375"/>
      <c r="F156" s="375"/>
      <c r="G156" s="375"/>
      <c r="H156" s="375"/>
      <c r="I156" s="375"/>
      <c r="J156" s="375"/>
      <c r="K156" s="244"/>
      <c r="L156" s="54"/>
    </row>
    <row r="157" spans="1:12" ht="18" customHeight="1" x14ac:dyDescent="0.25">
      <c r="A157" s="375"/>
      <c r="B157" s="1714" t="s">
        <v>2103</v>
      </c>
      <c r="C157" s="1715"/>
      <c r="D157" s="1715"/>
      <c r="E157" s="1715"/>
      <c r="F157" s="1715"/>
      <c r="G157" s="1046" t="s">
        <v>2101</v>
      </c>
      <c r="H157" s="1716" t="s">
        <v>2102</v>
      </c>
      <c r="I157" s="1717"/>
      <c r="J157" s="375"/>
      <c r="K157" s="242"/>
    </row>
    <row r="158" spans="1:12" ht="30" customHeight="1" x14ac:dyDescent="0.25">
      <c r="A158" s="375"/>
      <c r="B158" s="1612" t="s">
        <v>1250</v>
      </c>
      <c r="C158" s="1613"/>
      <c r="D158" s="1613"/>
      <c r="E158" s="1613"/>
      <c r="F158" s="1613"/>
      <c r="G158" s="633" t="s">
        <v>129</v>
      </c>
      <c r="H158" s="1441"/>
      <c r="I158" s="1442"/>
      <c r="J158" s="375"/>
      <c r="K158" s="242"/>
    </row>
    <row r="159" spans="1:12" ht="25.5" customHeight="1" x14ac:dyDescent="0.25">
      <c r="A159" s="375"/>
      <c r="B159" s="1612" t="s">
        <v>1859</v>
      </c>
      <c r="C159" s="1613"/>
      <c r="D159" s="1613"/>
      <c r="E159" s="1613"/>
      <c r="F159" s="1613"/>
      <c r="G159" s="912" t="s">
        <v>129</v>
      </c>
      <c r="H159" s="1441"/>
      <c r="I159" s="1442"/>
      <c r="J159" s="375"/>
      <c r="K159" s="242"/>
    </row>
    <row r="160" spans="1:12" ht="18.75" customHeight="1" x14ac:dyDescent="0.25">
      <c r="A160" s="375"/>
      <c r="B160" s="375"/>
      <c r="C160" s="375"/>
      <c r="D160" s="375"/>
      <c r="E160" s="375"/>
      <c r="F160" s="375"/>
      <c r="G160" s="375"/>
      <c r="H160" s="375"/>
      <c r="I160" s="375"/>
      <c r="J160" s="375"/>
      <c r="K160" s="244"/>
      <c r="L160" s="54"/>
    </row>
    <row r="161" spans="1:12" ht="16.5" customHeight="1" x14ac:dyDescent="0.25">
      <c r="A161" s="1684" t="s">
        <v>25</v>
      </c>
      <c r="B161" s="1684"/>
      <c r="C161" s="1684"/>
      <c r="D161" s="375"/>
      <c r="E161" s="375"/>
      <c r="F161" s="375"/>
      <c r="G161" s="375"/>
      <c r="H161" s="375"/>
      <c r="I161" s="375"/>
      <c r="J161" s="375"/>
      <c r="K161" s="244"/>
      <c r="L161" s="54"/>
    </row>
    <row r="162" spans="1:12" x14ac:dyDescent="0.25">
      <c r="A162" s="375"/>
      <c r="B162" s="375"/>
      <c r="C162" s="375"/>
      <c r="D162" s="375"/>
      <c r="E162" s="375"/>
      <c r="F162" s="375"/>
      <c r="G162" s="375"/>
      <c r="H162" s="375"/>
      <c r="I162" s="375"/>
      <c r="J162" s="375"/>
      <c r="K162" s="242"/>
      <c r="L162" s="53"/>
    </row>
    <row r="163" spans="1:12" ht="18" customHeight="1" x14ac:dyDescent="0.25">
      <c r="A163" s="375"/>
      <c r="B163" s="201" t="s">
        <v>56</v>
      </c>
      <c r="C163" s="12" t="str">
        <f>IF(D11="Performance Path",IF(E153&gt;=0.4,5,IF(E153&gt;=0.35,4,IF(E153&gt;=0.3,3,IF(E153&gt;=0.25,2,IF(E153&gt;=0.2,1,0))))),"")</f>
        <v/>
      </c>
      <c r="D163" s="375"/>
      <c r="E163" s="375"/>
      <c r="F163" s="375"/>
      <c r="G163" s="375"/>
      <c r="H163" s="375"/>
      <c r="I163" s="375"/>
      <c r="J163" s="375"/>
      <c r="K163" s="242"/>
      <c r="L163" s="53"/>
    </row>
    <row r="164" spans="1:12" ht="18" customHeight="1" collapsed="1" x14ac:dyDescent="0.25">
      <c r="A164" s="375"/>
      <c r="B164" s="208" t="s">
        <v>521</v>
      </c>
      <c r="C164" s="12" t="str">
        <f>IF(D11="Performance Path",IF(AND(COUNTIF(G158:G159,"Submitted")=2,C163&gt;0),"Yes","No"),"")</f>
        <v/>
      </c>
      <c r="D164" s="375"/>
      <c r="E164" s="375"/>
      <c r="F164" s="375"/>
      <c r="G164" s="375"/>
      <c r="H164" s="375"/>
      <c r="I164" s="375"/>
      <c r="J164" s="375"/>
      <c r="K164" s="242"/>
      <c r="L164" s="53"/>
    </row>
    <row r="165" spans="1:12" ht="18.75" customHeight="1" x14ac:dyDescent="0.25">
      <c r="A165" s="375"/>
      <c r="B165" s="375"/>
      <c r="C165" s="375"/>
      <c r="D165" s="375"/>
      <c r="E165" s="375"/>
      <c r="F165" s="375"/>
      <c r="G165" s="375"/>
      <c r="H165" s="375"/>
      <c r="I165" s="375"/>
      <c r="J165" s="375"/>
      <c r="K165" s="244"/>
      <c r="L165" s="54"/>
    </row>
    <row r="166" spans="1:12" hidden="1" x14ac:dyDescent="0.25"/>
    <row r="167" spans="1:12" hidden="1" x14ac:dyDescent="0.25"/>
    <row r="168" spans="1:12" hidden="1" x14ac:dyDescent="0.25"/>
    <row r="169" spans="1:12" hidden="1" x14ac:dyDescent="0.25"/>
    <row r="170" spans="1:12" hidden="1" x14ac:dyDescent="0.25"/>
    <row r="171" spans="1:12" hidden="1" x14ac:dyDescent="0.25"/>
    <row r="172" spans="1:12" hidden="1" x14ac:dyDescent="0.25"/>
    <row r="173" spans="1:12" hidden="1" x14ac:dyDescent="0.25"/>
    <row r="174" spans="1:12" hidden="1" x14ac:dyDescent="0.25"/>
    <row r="175" spans="1:12" hidden="1" x14ac:dyDescent="0.25"/>
    <row r="176" spans="1:12"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spans="1:1" hidden="1" x14ac:dyDescent="0.25"/>
    <row r="258" spans="1:1" hidden="1" x14ac:dyDescent="0.25"/>
    <row r="259" spans="1:1" hidden="1" x14ac:dyDescent="0.25"/>
    <row r="260" spans="1:1" hidden="1" x14ac:dyDescent="0.25"/>
    <row r="261" spans="1:1" hidden="1" x14ac:dyDescent="0.25"/>
    <row r="262" spans="1:1" hidden="1" x14ac:dyDescent="0.25"/>
    <row r="263" spans="1:1" hidden="1" x14ac:dyDescent="0.25"/>
    <row r="264" spans="1:1" hidden="1" x14ac:dyDescent="0.25"/>
    <row r="265" spans="1:1" hidden="1" x14ac:dyDescent="0.25"/>
    <row r="266" spans="1:1" hidden="1" x14ac:dyDescent="0.25"/>
    <row r="267" spans="1:1" hidden="1" x14ac:dyDescent="0.25"/>
    <row r="268" spans="1:1" hidden="1" x14ac:dyDescent="0.25">
      <c r="A268" s="244"/>
    </row>
    <row r="269" spans="1:1" hidden="1" x14ac:dyDescent="0.25"/>
    <row r="270" spans="1:1" hidden="1" x14ac:dyDescent="0.25"/>
    <row r="271" spans="1:1" hidden="1" x14ac:dyDescent="0.25"/>
    <row r="272" spans="1:1"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sheetData>
  <sheetProtection algorithmName="SHA-512" hashValue="RVF6PaY+eAW84xSws3hxx7QEzPlCj0E0IxS/t1haXVozAnXBDWs/KIOFVUT+AWr3oo49FkYteQan/Zg/gaXOtw==" saltValue="CkUkC9cN12x9mbVO5P3sog==" spinCount="100000" sheet="1" objects="1" scenarios="1"/>
  <mergeCells count="147">
    <mergeCell ref="B158:F158"/>
    <mergeCell ref="B159:F159"/>
    <mergeCell ref="B157:F157"/>
    <mergeCell ref="H157:I157"/>
    <mergeCell ref="H158:I158"/>
    <mergeCell ref="H159:I159"/>
    <mergeCell ref="A9:J9"/>
    <mergeCell ref="A22:J22"/>
    <mergeCell ref="A89:J89"/>
    <mergeCell ref="B31:G31"/>
    <mergeCell ref="B29:G29"/>
    <mergeCell ref="B30:G30"/>
    <mergeCell ref="B32:G32"/>
    <mergeCell ref="B28:G28"/>
    <mergeCell ref="A24:C24"/>
    <mergeCell ref="A34:C34"/>
    <mergeCell ref="A72:C72"/>
    <mergeCell ref="A78:C78"/>
    <mergeCell ref="B146:C146"/>
    <mergeCell ref="B147:C147"/>
    <mergeCell ref="B150:C150"/>
    <mergeCell ref="A155:C155"/>
    <mergeCell ref="H74:I74"/>
    <mergeCell ref="B75:F75"/>
    <mergeCell ref="B76:F76"/>
    <mergeCell ref="H75:I75"/>
    <mergeCell ref="H76:I76"/>
    <mergeCell ref="D51:E51"/>
    <mergeCell ref="B50:C50"/>
    <mergeCell ref="D50:E50"/>
    <mergeCell ref="B55:C55"/>
    <mergeCell ref="D55:E55"/>
    <mergeCell ref="B67:C67"/>
    <mergeCell ref="B68:C68"/>
    <mergeCell ref="B74:F74"/>
    <mergeCell ref="B56:C56"/>
    <mergeCell ref="D56:E56"/>
    <mergeCell ref="B54:C54"/>
    <mergeCell ref="D54:E54"/>
    <mergeCell ref="B51:C51"/>
    <mergeCell ref="D63:E63"/>
    <mergeCell ref="B63:C63"/>
    <mergeCell ref="B69:C69"/>
    <mergeCell ref="A161:C161"/>
    <mergeCell ref="A91:C91"/>
    <mergeCell ref="B100:D100"/>
    <mergeCell ref="G100:H100"/>
    <mergeCell ref="B101:B102"/>
    <mergeCell ref="C101:C102"/>
    <mergeCell ref="G101:G102"/>
    <mergeCell ref="H101:H102"/>
    <mergeCell ref="B112:F112"/>
    <mergeCell ref="B153:D153"/>
    <mergeCell ref="B151:C151"/>
    <mergeCell ref="B139:C139"/>
    <mergeCell ref="D139:E139"/>
    <mergeCell ref="B140:C140"/>
    <mergeCell ref="D140:E140"/>
    <mergeCell ref="B141:C141"/>
    <mergeCell ref="D141:E141"/>
    <mergeCell ref="B144:C144"/>
    <mergeCell ref="B145:C145"/>
    <mergeCell ref="B129:C129"/>
    <mergeCell ref="D129:E129"/>
    <mergeCell ref="B132:C132"/>
    <mergeCell ref="D132:E132"/>
    <mergeCell ref="B133:C133"/>
    <mergeCell ref="B138:C138"/>
    <mergeCell ref="B126:C126"/>
    <mergeCell ref="D126:E126"/>
    <mergeCell ref="B127:C127"/>
    <mergeCell ref="D127:E127"/>
    <mergeCell ref="B128:C128"/>
    <mergeCell ref="D128:E128"/>
    <mergeCell ref="B134:C134"/>
    <mergeCell ref="D134:E134"/>
    <mergeCell ref="B135:C135"/>
    <mergeCell ref="D135:E135"/>
    <mergeCell ref="D138:E138"/>
    <mergeCell ref="D133:E133"/>
    <mergeCell ref="B120:B121"/>
    <mergeCell ref="C120:C121"/>
    <mergeCell ref="F120:F121"/>
    <mergeCell ref="G120:G121"/>
    <mergeCell ref="H120:H121"/>
    <mergeCell ref="B122:B123"/>
    <mergeCell ref="C122:C123"/>
    <mergeCell ref="F122:F123"/>
    <mergeCell ref="G122:G123"/>
    <mergeCell ref="H122:H123"/>
    <mergeCell ref="G116:G117"/>
    <mergeCell ref="H116:H117"/>
    <mergeCell ref="B118:B119"/>
    <mergeCell ref="C118:C119"/>
    <mergeCell ref="F118:F119"/>
    <mergeCell ref="G118:G119"/>
    <mergeCell ref="H118:H119"/>
    <mergeCell ref="B116:C116"/>
    <mergeCell ref="D116:E117"/>
    <mergeCell ref="F116:F117"/>
    <mergeCell ref="B83:F83"/>
    <mergeCell ref="B84:F84"/>
    <mergeCell ref="A95:C95"/>
    <mergeCell ref="B80:F80"/>
    <mergeCell ref="B81:F81"/>
    <mergeCell ref="B82:F82"/>
    <mergeCell ref="B38:C38"/>
    <mergeCell ref="B20:F20"/>
    <mergeCell ref="I14:I17"/>
    <mergeCell ref="B62:C62"/>
    <mergeCell ref="D62:E62"/>
    <mergeCell ref="B60:C60"/>
    <mergeCell ref="B66:C66"/>
    <mergeCell ref="D60:E60"/>
    <mergeCell ref="B61:C61"/>
    <mergeCell ref="D61:E61"/>
    <mergeCell ref="B57:C57"/>
    <mergeCell ref="D57:E57"/>
    <mergeCell ref="D38:E39"/>
    <mergeCell ref="B44:B45"/>
    <mergeCell ref="C44:C45"/>
    <mergeCell ref="G38:G39"/>
    <mergeCell ref="B40:B41"/>
    <mergeCell ref="C40:C41"/>
    <mergeCell ref="H2:I4"/>
    <mergeCell ref="D11:E11"/>
    <mergeCell ref="B11:C11"/>
    <mergeCell ref="B48:C48"/>
    <mergeCell ref="B49:C49"/>
    <mergeCell ref="B42:B43"/>
    <mergeCell ref="C42:C43"/>
    <mergeCell ref="D48:E48"/>
    <mergeCell ref="D49:E49"/>
    <mergeCell ref="B14:F14"/>
    <mergeCell ref="B13:F13"/>
    <mergeCell ref="B15:F15"/>
    <mergeCell ref="B16:F16"/>
    <mergeCell ref="B17:F17"/>
    <mergeCell ref="B19:F19"/>
    <mergeCell ref="G42:G43"/>
    <mergeCell ref="G44:G45"/>
    <mergeCell ref="G40:G41"/>
    <mergeCell ref="A5:J7"/>
    <mergeCell ref="F38:F39"/>
    <mergeCell ref="G14:G17"/>
    <mergeCell ref="H14:H17"/>
    <mergeCell ref="B36:F36"/>
  </mergeCells>
  <dataValidations disablePrompts="1" count="3">
    <dataValidation type="list" allowBlank="1" showInputMessage="1" showErrorMessage="1" sqref="D11">
      <formula1>"Select,Prescriptive Path, Performance Path"</formula1>
    </dataValidation>
    <dataValidation type="list" allowBlank="1" showInputMessage="1" showErrorMessage="1" sqref="C40:C45 C118:C123">
      <formula1>"Select,Single Flush, Dual Flush"</formula1>
    </dataValidation>
    <dataValidation type="list" allowBlank="1" showInputMessage="1" showErrorMessage="1" sqref="G158:G159 G75:G76">
      <formula1>"Select,Submitted,Not submitted"</formula1>
    </dataValidation>
  </dataValidations>
  <hyperlinks>
    <hyperlink ref="J2" location="'W-2 Water Efficient Landscaping'!E3" tooltip="W-2" display="W-2"/>
    <hyperlink ref="J3" location="'W-3 Drinking Water '!E3" tooltip="W-3" display="W-3"/>
    <hyperlink ref="J4" location="'Water BPC'!D3" tooltip="BPC" display="BPC"/>
  </hyperlinks>
  <pageMargins left="0.7" right="0.7" top="0.75" bottom="0.75" header="0.3" footer="0.3"/>
  <ignoredErrors>
    <ignoredError sqref="H82" formula="1"/>
  </ignoredErrors>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0563C1"/>
  </sheetPr>
  <dimension ref="A1:AH305"/>
  <sheetViews>
    <sheetView showRowColHeaders="0" zoomScaleNormal="100" workbookViewId="0">
      <pane ySplit="8" topLeftCell="A9" activePane="bottomLeft" state="frozen"/>
      <selection pane="bottomLeft" activeCell="E56" sqref="E56"/>
    </sheetView>
  </sheetViews>
  <sheetFormatPr defaultColWidth="0" defaultRowHeight="15" customHeight="1" zeroHeight="1" x14ac:dyDescent="0.25"/>
  <cols>
    <col min="1" max="1" width="5" style="42" customWidth="1"/>
    <col min="2" max="2" width="18.7109375" style="42" customWidth="1"/>
    <col min="3" max="15" width="11.85546875" style="42" customWidth="1"/>
    <col min="16" max="16" width="9.140625" style="42" customWidth="1"/>
    <col min="17" max="16384" width="9.140625" style="42" hidden="1"/>
  </cols>
  <sheetData>
    <row r="1" spans="1:17" ht="23.25" x14ac:dyDescent="0.25">
      <c r="A1" s="212" t="s">
        <v>36</v>
      </c>
      <c r="B1" s="245"/>
      <c r="C1" s="245"/>
      <c r="D1" s="245"/>
      <c r="E1" s="245"/>
      <c r="F1" s="245"/>
      <c r="G1" s="66"/>
      <c r="H1" s="66"/>
      <c r="I1" s="66"/>
      <c r="J1" s="66"/>
      <c r="K1" s="66"/>
      <c r="L1" s="66"/>
      <c r="M1" s="127"/>
      <c r="N1" s="127"/>
      <c r="O1" s="127"/>
      <c r="P1" s="127"/>
    </row>
    <row r="2" spans="1:17" ht="15" customHeight="1" x14ac:dyDescent="0.25">
      <c r="A2" s="54"/>
      <c r="B2" s="54"/>
      <c r="C2" s="54"/>
      <c r="D2" s="54"/>
      <c r="E2" s="54"/>
      <c r="F2" s="54"/>
      <c r="G2" s="53"/>
      <c r="H2" s="53"/>
      <c r="I2" s="53"/>
      <c r="J2" s="53"/>
      <c r="K2" s="53"/>
      <c r="L2" s="53"/>
      <c r="M2" s="53"/>
      <c r="N2" s="1426" t="s">
        <v>536</v>
      </c>
      <c r="O2" s="1426"/>
      <c r="P2" s="243" t="s">
        <v>88</v>
      </c>
    </row>
    <row r="3" spans="1:17" ht="15" customHeight="1" x14ac:dyDescent="0.25">
      <c r="A3" s="54"/>
      <c r="B3" s="54"/>
      <c r="C3" s="54"/>
      <c r="D3" s="54"/>
      <c r="E3" s="54"/>
      <c r="F3" s="54"/>
      <c r="G3" s="53"/>
      <c r="H3" s="53"/>
      <c r="I3" s="53"/>
      <c r="J3" s="53"/>
      <c r="K3" s="53"/>
      <c r="L3" s="53"/>
      <c r="M3" s="53"/>
      <c r="N3" s="1426"/>
      <c r="O3" s="1426"/>
      <c r="P3" s="243" t="s">
        <v>97</v>
      </c>
    </row>
    <row r="4" spans="1:17" ht="15" customHeight="1" x14ac:dyDescent="0.25">
      <c r="A4" s="54"/>
      <c r="B4" s="54"/>
      <c r="C4" s="54"/>
      <c r="D4" s="54"/>
      <c r="E4" s="54"/>
      <c r="F4" s="54"/>
      <c r="G4" s="53"/>
      <c r="H4" s="53"/>
      <c r="I4" s="53"/>
      <c r="J4" s="53"/>
      <c r="K4" s="53"/>
      <c r="L4" s="53"/>
      <c r="M4" s="53"/>
      <c r="N4" s="1427"/>
      <c r="O4" s="1427"/>
      <c r="P4" s="243" t="s">
        <v>79</v>
      </c>
    </row>
    <row r="5" spans="1:17" ht="18.75" customHeight="1" x14ac:dyDescent="0.25">
      <c r="A5" s="1417" t="s">
        <v>2206</v>
      </c>
      <c r="B5" s="1418"/>
      <c r="C5" s="1418"/>
      <c r="D5" s="1418"/>
      <c r="E5" s="1418"/>
      <c r="F5" s="1418"/>
      <c r="G5" s="1418"/>
      <c r="H5" s="1418"/>
      <c r="I5" s="1418"/>
      <c r="J5" s="1418"/>
      <c r="K5" s="1418"/>
      <c r="L5" s="1418"/>
      <c r="M5" s="1418"/>
      <c r="N5" s="1418"/>
      <c r="O5" s="1418"/>
      <c r="P5" s="1419"/>
    </row>
    <row r="6" spans="1:17" ht="18.75" customHeight="1" x14ac:dyDescent="0.25">
      <c r="A6" s="1420"/>
      <c r="B6" s="1421"/>
      <c r="C6" s="1421"/>
      <c r="D6" s="1421"/>
      <c r="E6" s="1421"/>
      <c r="F6" s="1421"/>
      <c r="G6" s="1421"/>
      <c r="H6" s="1421"/>
      <c r="I6" s="1421"/>
      <c r="J6" s="1421"/>
      <c r="K6" s="1421"/>
      <c r="L6" s="1421"/>
      <c r="M6" s="1421"/>
      <c r="N6" s="1421"/>
      <c r="O6" s="1421"/>
      <c r="P6" s="1422"/>
    </row>
    <row r="7" spans="1:17" ht="23.25" customHeight="1" x14ac:dyDescent="0.25">
      <c r="A7" s="1423"/>
      <c r="B7" s="1424"/>
      <c r="C7" s="1424"/>
      <c r="D7" s="1424"/>
      <c r="E7" s="1424"/>
      <c r="F7" s="1424"/>
      <c r="G7" s="1424"/>
      <c r="H7" s="1424"/>
      <c r="I7" s="1424"/>
      <c r="J7" s="1424"/>
      <c r="K7" s="1424"/>
      <c r="L7" s="1424"/>
      <c r="M7" s="1424"/>
      <c r="N7" s="1424"/>
      <c r="O7" s="1424"/>
      <c r="P7" s="1425"/>
    </row>
    <row r="8" spans="1:17" ht="12" customHeight="1" x14ac:dyDescent="0.25">
      <c r="A8" s="53"/>
      <c r="B8" s="54"/>
      <c r="C8" s="54"/>
      <c r="D8" s="54"/>
      <c r="E8" s="54"/>
      <c r="F8" s="53"/>
      <c r="G8" s="53"/>
      <c r="H8" s="53"/>
      <c r="I8" s="53"/>
      <c r="J8" s="53"/>
      <c r="K8" s="53"/>
      <c r="L8" s="53"/>
      <c r="M8" s="53"/>
      <c r="N8" s="53"/>
      <c r="O8" s="53"/>
      <c r="P8" s="53"/>
    </row>
    <row r="9" spans="1:17" ht="18" customHeight="1" x14ac:dyDescent="0.25">
      <c r="A9" s="1718" t="s">
        <v>380</v>
      </c>
      <c r="B9" s="1718"/>
      <c r="C9" s="1718"/>
      <c r="D9" s="1718"/>
      <c r="E9" s="1718"/>
      <c r="F9" s="1718"/>
      <c r="G9" s="1718"/>
      <c r="H9" s="1718"/>
      <c r="I9" s="1718"/>
      <c r="J9" s="1718"/>
      <c r="K9" s="1718"/>
      <c r="L9" s="1718"/>
      <c r="M9" s="1718"/>
      <c r="N9" s="1718"/>
      <c r="O9" s="1718"/>
      <c r="P9" s="1718"/>
    </row>
    <row r="10" spans="1:17" x14ac:dyDescent="0.25">
      <c r="A10" s="53"/>
      <c r="B10" s="53"/>
      <c r="C10" s="53"/>
      <c r="D10" s="53"/>
      <c r="E10" s="53"/>
      <c r="F10" s="53"/>
      <c r="G10" s="53"/>
      <c r="H10" s="53"/>
      <c r="I10" s="53"/>
      <c r="J10" s="53"/>
      <c r="K10" s="53"/>
      <c r="L10" s="53"/>
      <c r="M10" s="53"/>
      <c r="N10" s="53"/>
      <c r="O10" s="53"/>
      <c r="P10" s="53"/>
    </row>
    <row r="11" spans="1:17" ht="16.5" customHeight="1" x14ac:dyDescent="0.25">
      <c r="A11" s="53"/>
      <c r="B11" s="1662" t="s">
        <v>247</v>
      </c>
      <c r="C11" s="1662"/>
      <c r="D11" s="1662"/>
      <c r="E11" s="1661" t="s">
        <v>129</v>
      </c>
      <c r="F11" s="1661"/>
      <c r="G11" s="53"/>
      <c r="H11" s="53"/>
      <c r="I11" s="53"/>
      <c r="J11" s="53"/>
      <c r="K11" s="53"/>
      <c r="L11" s="53"/>
      <c r="M11" s="53"/>
      <c r="N11" s="53"/>
      <c r="O11" s="53"/>
      <c r="P11" s="53"/>
    </row>
    <row r="12" spans="1:17" x14ac:dyDescent="0.25">
      <c r="A12" s="53"/>
      <c r="B12" s="53"/>
      <c r="C12" s="437"/>
      <c r="D12" s="437"/>
      <c r="E12" s="437"/>
      <c r="F12" s="437"/>
      <c r="G12" s="437"/>
      <c r="H12" s="437"/>
      <c r="I12" s="53"/>
      <c r="J12" s="53"/>
      <c r="K12" s="53"/>
      <c r="L12" s="53"/>
      <c r="M12" s="53"/>
      <c r="N12" s="53"/>
      <c r="O12" s="53"/>
      <c r="P12" s="53"/>
    </row>
    <row r="13" spans="1:17" ht="18" customHeight="1" x14ac:dyDescent="0.25">
      <c r="A13" s="53"/>
      <c r="B13" s="1757" t="s">
        <v>207</v>
      </c>
      <c r="C13" s="1758"/>
      <c r="D13" s="1758"/>
      <c r="E13" s="1758"/>
      <c r="F13" s="1758"/>
      <c r="G13" s="1758"/>
      <c r="H13" s="1750" t="s">
        <v>157</v>
      </c>
      <c r="I13" s="1751"/>
      <c r="J13" s="1750" t="s">
        <v>56</v>
      </c>
      <c r="K13" s="1751"/>
      <c r="L13" s="1750" t="s">
        <v>521</v>
      </c>
      <c r="M13" s="1752"/>
      <c r="N13" s="53"/>
      <c r="O13" s="53"/>
      <c r="P13" s="53"/>
    </row>
    <row r="14" spans="1:17" ht="25.5" customHeight="1" x14ac:dyDescent="0.25">
      <c r="A14" s="53"/>
      <c r="B14" s="1753" t="s">
        <v>1155</v>
      </c>
      <c r="C14" s="1754"/>
      <c r="D14" s="1754"/>
      <c r="E14" s="1754"/>
      <c r="F14" s="1754"/>
      <c r="G14" s="1755"/>
      <c r="H14" s="1749">
        <v>1</v>
      </c>
      <c r="I14" s="1749"/>
      <c r="J14" s="1749" t="str">
        <f>IF(E11="Prescriptive Path",C64,"")</f>
        <v/>
      </c>
      <c r="K14" s="1749"/>
      <c r="L14" s="1749" t="str">
        <f>IF(E11="Prescriptive Path",C65,"")</f>
        <v/>
      </c>
      <c r="M14" s="1749"/>
      <c r="N14" s="53"/>
      <c r="O14" s="53"/>
      <c r="P14" s="53"/>
      <c r="Q14" s="42" t="str">
        <f>IF(J14&lt;&gt;0,IF(L14="No","No","Yes"),"Yes")</f>
        <v>Yes</v>
      </c>
    </row>
    <row r="15" spans="1:17" ht="28.5" customHeight="1" x14ac:dyDescent="0.25">
      <c r="A15" s="53"/>
      <c r="B15" s="1753" t="s">
        <v>1156</v>
      </c>
      <c r="C15" s="1754"/>
      <c r="D15" s="1754"/>
      <c r="E15" s="1754"/>
      <c r="F15" s="1754"/>
      <c r="G15" s="1755"/>
      <c r="H15" s="1749">
        <v>1</v>
      </c>
      <c r="I15" s="1749"/>
      <c r="J15" s="1749" t="str">
        <f>IF(E11="Prescriptive Path",C89,"")</f>
        <v/>
      </c>
      <c r="K15" s="1749"/>
      <c r="L15" s="1749" t="str">
        <f>IF(E11="Prescriptive Path",C90,"")</f>
        <v/>
      </c>
      <c r="M15" s="1749"/>
      <c r="N15" s="53"/>
      <c r="O15" s="53"/>
      <c r="P15" s="53"/>
      <c r="Q15" s="42" t="str">
        <f>IF(J15&lt;&gt;0,IF(L15="No","No","Yes"),"Yes")</f>
        <v>Yes</v>
      </c>
    </row>
    <row r="16" spans="1:17" ht="20.25" customHeight="1" x14ac:dyDescent="0.25">
      <c r="A16" s="53"/>
      <c r="B16" s="1759" t="s">
        <v>82</v>
      </c>
      <c r="C16" s="1760"/>
      <c r="D16" s="1760"/>
      <c r="E16" s="1760"/>
      <c r="F16" s="1760"/>
      <c r="G16" s="1761"/>
      <c r="H16" s="1762">
        <v>2</v>
      </c>
      <c r="I16" s="1763"/>
      <c r="J16" s="1762" t="str">
        <f>IF(E11="Prescriptive Path",MIN(4,SUM(J14:K15)),"")</f>
        <v/>
      </c>
      <c r="K16" s="1764"/>
      <c r="L16" s="1762" t="str">
        <f>IF(E11="Prescriptive Path",IF(COUNTIF(L14:M15,"No")=2,"No",IF(COUNTIF(Q14:Q15,"Yes")=2,"Yes","No")),"")</f>
        <v/>
      </c>
      <c r="M16" s="1763"/>
      <c r="N16" s="53"/>
      <c r="O16" s="53"/>
      <c r="P16" s="53"/>
    </row>
    <row r="17" spans="1:16" ht="16.5" customHeight="1" x14ac:dyDescent="0.25">
      <c r="A17" s="53"/>
      <c r="B17" s="53"/>
      <c r="C17" s="53"/>
      <c r="D17" s="53"/>
      <c r="E17" s="53"/>
      <c r="F17" s="53"/>
      <c r="G17" s="53"/>
      <c r="H17" s="53"/>
      <c r="I17" s="53"/>
      <c r="J17" s="53"/>
      <c r="K17" s="53"/>
      <c r="L17" s="53"/>
      <c r="M17" s="53"/>
      <c r="N17" s="53"/>
      <c r="O17" s="53"/>
      <c r="P17" s="53"/>
    </row>
    <row r="18" spans="1:16" ht="18" customHeight="1" x14ac:dyDescent="0.25">
      <c r="A18" s="53"/>
      <c r="B18" s="1757" t="s">
        <v>206</v>
      </c>
      <c r="C18" s="1768"/>
      <c r="D18" s="1768"/>
      <c r="E18" s="1768"/>
      <c r="F18" s="1768"/>
      <c r="G18" s="1768"/>
      <c r="H18" s="1750" t="s">
        <v>157</v>
      </c>
      <c r="I18" s="1751"/>
      <c r="J18" s="1750" t="s">
        <v>56</v>
      </c>
      <c r="K18" s="1751"/>
      <c r="L18" s="1750" t="s">
        <v>521</v>
      </c>
      <c r="M18" s="1752"/>
      <c r="N18" s="53"/>
      <c r="O18" s="53"/>
      <c r="P18" s="53"/>
    </row>
    <row r="19" spans="1:16" ht="54" customHeight="1" x14ac:dyDescent="0.25">
      <c r="A19" s="53"/>
      <c r="B19" s="1753" t="s">
        <v>158</v>
      </c>
      <c r="C19" s="1754"/>
      <c r="D19" s="1754"/>
      <c r="E19" s="1754"/>
      <c r="F19" s="1754"/>
      <c r="G19" s="1755"/>
      <c r="H19" s="1749">
        <v>2</v>
      </c>
      <c r="I19" s="1749"/>
      <c r="J19" s="1749" t="str">
        <f>IF(E11="Performance Path",C145,"")</f>
        <v/>
      </c>
      <c r="K19" s="1749"/>
      <c r="L19" s="1749" t="str">
        <f>IF(E11="Performance Path",C146,"")</f>
        <v/>
      </c>
      <c r="M19" s="1749"/>
      <c r="N19" s="53"/>
      <c r="O19" s="53"/>
      <c r="P19" s="53"/>
    </row>
    <row r="20" spans="1:16" ht="16.5" customHeight="1" x14ac:dyDescent="0.25">
      <c r="A20" s="53"/>
      <c r="B20" s="53"/>
      <c r="C20" s="53"/>
      <c r="D20" s="53"/>
      <c r="E20" s="53"/>
      <c r="F20" s="53"/>
      <c r="G20" s="53"/>
      <c r="H20" s="53"/>
      <c r="I20" s="53"/>
      <c r="J20" s="53"/>
      <c r="K20" s="53"/>
      <c r="L20" s="53"/>
      <c r="M20" s="53"/>
      <c r="N20" s="53"/>
      <c r="O20" s="53"/>
      <c r="P20" s="53"/>
    </row>
    <row r="21" spans="1:16" ht="18" customHeight="1" x14ac:dyDescent="0.25">
      <c r="A21" s="1718" t="s">
        <v>16</v>
      </c>
      <c r="B21" s="1718"/>
      <c r="C21" s="1718"/>
      <c r="D21" s="1718"/>
      <c r="E21" s="1718"/>
      <c r="F21" s="1718"/>
      <c r="G21" s="1718"/>
      <c r="H21" s="1718"/>
      <c r="I21" s="1718"/>
      <c r="J21" s="1718"/>
      <c r="K21" s="1718"/>
      <c r="L21" s="1718"/>
      <c r="M21" s="1718"/>
      <c r="N21" s="1718"/>
      <c r="O21" s="1718"/>
      <c r="P21" s="1718"/>
    </row>
    <row r="22" spans="1:16" ht="16.5" customHeight="1" x14ac:dyDescent="0.25">
      <c r="A22" s="213"/>
      <c r="B22" s="213"/>
      <c r="C22" s="213"/>
      <c r="D22" s="213"/>
      <c r="E22" s="213"/>
      <c r="F22" s="213"/>
      <c r="G22" s="213"/>
      <c r="H22" s="213"/>
      <c r="I22" s="213"/>
      <c r="J22" s="213"/>
      <c r="K22" s="213"/>
      <c r="L22" s="224"/>
      <c r="M22" s="224"/>
      <c r="N22" s="224"/>
      <c r="O22" s="224"/>
      <c r="P22" s="224"/>
    </row>
    <row r="23" spans="1:16" ht="18" customHeight="1" x14ac:dyDescent="0.25">
      <c r="A23" s="1684" t="s">
        <v>1153</v>
      </c>
      <c r="B23" s="1684"/>
      <c r="C23" s="1684"/>
      <c r="D23" s="1684"/>
      <c r="E23" s="1684"/>
      <c r="F23" s="1684"/>
      <c r="G23" s="1684"/>
      <c r="H23" s="1684"/>
      <c r="I23" s="1684"/>
      <c r="J23" s="1684"/>
      <c r="K23" s="1684"/>
      <c r="L23" s="1684"/>
      <c r="M23" s="1684"/>
      <c r="N23" s="1684"/>
      <c r="O23" s="1684"/>
      <c r="P23" s="1684"/>
    </row>
    <row r="24" spans="1:16" ht="16.5" customHeight="1" x14ac:dyDescent="0.25">
      <c r="A24" s="213"/>
      <c r="B24" s="213"/>
      <c r="C24" s="213"/>
      <c r="D24" s="213"/>
      <c r="E24" s="213"/>
      <c r="F24" s="213"/>
      <c r="G24" s="213"/>
      <c r="H24" s="213"/>
      <c r="I24" s="213"/>
      <c r="J24" s="213"/>
      <c r="K24" s="213"/>
      <c r="L24" s="224"/>
      <c r="M24" s="224"/>
      <c r="N24" s="224"/>
      <c r="O24" s="224"/>
      <c r="P24" s="224"/>
    </row>
    <row r="25" spans="1:16" ht="16.5" customHeight="1" x14ac:dyDescent="0.25">
      <c r="A25" s="297" t="s">
        <v>265</v>
      </c>
      <c r="B25" s="69"/>
      <c r="C25" s="69"/>
      <c r="D25" s="224"/>
      <c r="E25" s="224"/>
      <c r="F25" s="224"/>
      <c r="G25" s="224"/>
      <c r="H25" s="224"/>
      <c r="I25" s="224"/>
      <c r="J25" s="224"/>
      <c r="K25" s="224"/>
      <c r="L25" s="224"/>
      <c r="M25" s="224"/>
      <c r="N25" s="224"/>
      <c r="O25" s="224"/>
      <c r="P25" s="224"/>
    </row>
    <row r="26" spans="1:16" x14ac:dyDescent="0.25">
      <c r="A26" s="224"/>
      <c r="B26" s="224"/>
      <c r="C26" s="224"/>
      <c r="D26" s="224"/>
      <c r="E26" s="224"/>
      <c r="F26" s="224"/>
      <c r="G26" s="224"/>
      <c r="H26" s="224"/>
      <c r="I26" s="224"/>
      <c r="J26" s="224"/>
      <c r="K26" s="224"/>
      <c r="L26" s="224"/>
      <c r="M26" s="224"/>
      <c r="N26" s="224"/>
      <c r="O26" s="224"/>
      <c r="P26" s="224"/>
    </row>
    <row r="27" spans="1:16" x14ac:dyDescent="0.25">
      <c r="A27" s="224"/>
      <c r="B27" s="801" t="s">
        <v>1653</v>
      </c>
      <c r="C27" s="638"/>
      <c r="D27" s="638"/>
      <c r="E27" s="638"/>
      <c r="F27" s="638"/>
      <c r="G27" s="638"/>
      <c r="H27" s="638"/>
      <c r="I27" s="638"/>
      <c r="J27" s="638"/>
      <c r="K27" s="639"/>
      <c r="L27" s="224"/>
      <c r="M27" s="224"/>
      <c r="N27" s="224"/>
      <c r="O27" s="224"/>
      <c r="P27" s="224"/>
    </row>
    <row r="28" spans="1:16" x14ac:dyDescent="0.25">
      <c r="A28" s="224"/>
      <c r="B28" s="851" t="s">
        <v>1648</v>
      </c>
      <c r="C28" s="635"/>
      <c r="D28" s="635"/>
      <c r="E28" s="635"/>
      <c r="F28" s="635"/>
      <c r="G28" s="635"/>
      <c r="H28" s="635"/>
      <c r="I28" s="635"/>
      <c r="J28" s="635"/>
      <c r="K28" s="641"/>
      <c r="L28" s="224"/>
      <c r="M28" s="224"/>
      <c r="N28" s="224"/>
      <c r="O28" s="224"/>
      <c r="P28" s="224"/>
    </row>
    <row r="29" spans="1:16" x14ac:dyDescent="0.25">
      <c r="A29" s="224"/>
      <c r="B29" s="865" t="s">
        <v>1524</v>
      </c>
      <c r="C29" s="635"/>
      <c r="D29" s="635"/>
      <c r="E29" s="635"/>
      <c r="F29" s="635"/>
      <c r="G29" s="635"/>
      <c r="H29" s="635"/>
      <c r="I29" s="635"/>
      <c r="J29" s="635"/>
      <c r="K29" s="641"/>
      <c r="L29" s="224"/>
      <c r="M29" s="224"/>
      <c r="N29" s="224"/>
      <c r="O29" s="224"/>
      <c r="P29" s="224"/>
    </row>
    <row r="30" spans="1:16" x14ac:dyDescent="0.25">
      <c r="A30" s="224"/>
      <c r="B30" s="711" t="s">
        <v>1655</v>
      </c>
      <c r="C30" s="643"/>
      <c r="D30" s="643"/>
      <c r="E30" s="643"/>
      <c r="F30" s="643"/>
      <c r="G30" s="643"/>
      <c r="H30" s="643"/>
      <c r="I30" s="643"/>
      <c r="J30" s="643"/>
      <c r="K30" s="644"/>
      <c r="L30" s="224"/>
      <c r="M30" s="224"/>
      <c r="N30" s="224"/>
      <c r="O30" s="224"/>
      <c r="P30" s="224"/>
    </row>
    <row r="31" spans="1:16" x14ac:dyDescent="0.25">
      <c r="A31" s="224"/>
      <c r="B31" s="863"/>
      <c r="C31" s="224"/>
      <c r="D31" s="224"/>
      <c r="E31" s="224"/>
      <c r="F31" s="224"/>
      <c r="G31" s="224"/>
      <c r="H31" s="224"/>
      <c r="I31" s="224"/>
      <c r="J31" s="224"/>
      <c r="K31" s="224"/>
      <c r="L31" s="224"/>
      <c r="M31" s="224"/>
      <c r="N31" s="224"/>
      <c r="O31" s="224"/>
      <c r="P31" s="224"/>
    </row>
    <row r="32" spans="1:16" x14ac:dyDescent="0.25">
      <c r="A32" s="224"/>
      <c r="B32" s="856" t="s">
        <v>1649</v>
      </c>
      <c r="C32" s="638"/>
      <c r="D32" s="638"/>
      <c r="E32" s="638"/>
      <c r="F32" s="638"/>
      <c r="G32" s="638"/>
      <c r="H32" s="638"/>
      <c r="I32" s="638"/>
      <c r="J32" s="638"/>
      <c r="K32" s="639"/>
      <c r="L32" s="224"/>
      <c r="M32" s="224"/>
      <c r="N32" s="224"/>
      <c r="O32" s="224"/>
      <c r="P32" s="224"/>
    </row>
    <row r="33" spans="1:18" x14ac:dyDescent="0.25">
      <c r="A33" s="224"/>
      <c r="B33" s="861" t="s">
        <v>1076</v>
      </c>
      <c r="C33" s="635"/>
      <c r="D33" s="635"/>
      <c r="E33" s="635"/>
      <c r="F33" s="635"/>
      <c r="G33" s="635"/>
      <c r="H33" s="635"/>
      <c r="I33" s="635"/>
      <c r="J33" s="635"/>
      <c r="K33" s="641"/>
      <c r="L33" s="224"/>
      <c r="M33" s="224"/>
      <c r="N33" s="224"/>
      <c r="O33" s="224"/>
      <c r="P33" s="224"/>
    </row>
    <row r="34" spans="1:18" x14ac:dyDescent="0.25">
      <c r="A34" s="224"/>
      <c r="B34" s="861" t="s">
        <v>1654</v>
      </c>
      <c r="C34" s="635"/>
      <c r="D34" s="635"/>
      <c r="E34" s="635"/>
      <c r="F34" s="635"/>
      <c r="G34" s="635"/>
      <c r="H34" s="635"/>
      <c r="I34" s="635"/>
      <c r="J34" s="635"/>
      <c r="K34" s="641"/>
      <c r="L34" s="224"/>
      <c r="M34" s="224"/>
      <c r="N34" s="224"/>
      <c r="O34" s="224"/>
      <c r="P34" s="224"/>
    </row>
    <row r="35" spans="1:18" x14ac:dyDescent="0.25">
      <c r="A35" s="224"/>
      <c r="B35" s="851" t="s">
        <v>1656</v>
      </c>
      <c r="C35" s="635"/>
      <c r="D35" s="635"/>
      <c r="E35" s="635"/>
      <c r="F35" s="635"/>
      <c r="G35" s="635"/>
      <c r="H35" s="635"/>
      <c r="I35" s="635"/>
      <c r="J35" s="635"/>
      <c r="K35" s="641"/>
      <c r="L35" s="224"/>
      <c r="M35" s="224"/>
      <c r="N35" s="224"/>
      <c r="O35" s="224"/>
      <c r="P35" s="224"/>
    </row>
    <row r="36" spans="1:18" x14ac:dyDescent="0.25">
      <c r="A36" s="224"/>
      <c r="B36" s="861" t="s">
        <v>1650</v>
      </c>
      <c r="C36" s="635"/>
      <c r="D36" s="635"/>
      <c r="E36" s="635"/>
      <c r="F36" s="635"/>
      <c r="G36" s="635"/>
      <c r="H36" s="635"/>
      <c r="I36" s="635"/>
      <c r="J36" s="635"/>
      <c r="K36" s="641"/>
      <c r="L36" s="224"/>
      <c r="M36" s="224"/>
      <c r="N36" s="224"/>
      <c r="O36" s="224"/>
      <c r="P36" s="224"/>
    </row>
    <row r="37" spans="1:18" x14ac:dyDescent="0.25">
      <c r="A37" s="224"/>
      <c r="B37" s="861" t="s">
        <v>1651</v>
      </c>
      <c r="C37" s="635"/>
      <c r="D37" s="635"/>
      <c r="E37" s="635"/>
      <c r="F37" s="635"/>
      <c r="G37" s="635"/>
      <c r="H37" s="635"/>
      <c r="I37" s="635"/>
      <c r="J37" s="635"/>
      <c r="K37" s="641"/>
      <c r="L37" s="224"/>
      <c r="M37" s="224"/>
      <c r="N37" s="224"/>
      <c r="O37" s="224"/>
      <c r="P37" s="224"/>
    </row>
    <row r="38" spans="1:18" x14ac:dyDescent="0.25">
      <c r="A38" s="224"/>
      <c r="B38" s="864" t="s">
        <v>1652</v>
      </c>
      <c r="C38" s="643"/>
      <c r="D38" s="643"/>
      <c r="E38" s="643"/>
      <c r="F38" s="643"/>
      <c r="G38" s="643"/>
      <c r="H38" s="643"/>
      <c r="I38" s="643"/>
      <c r="J38" s="643"/>
      <c r="K38" s="644"/>
      <c r="L38" s="224"/>
      <c r="M38" s="224"/>
      <c r="N38" s="224"/>
      <c r="O38" s="224"/>
      <c r="P38" s="224"/>
    </row>
    <row r="39" spans="1:18" x14ac:dyDescent="0.25">
      <c r="A39" s="224"/>
      <c r="B39" s="224"/>
      <c r="C39" s="224"/>
      <c r="D39" s="224"/>
      <c r="E39" s="224"/>
      <c r="F39" s="224"/>
      <c r="G39" s="224"/>
      <c r="H39" s="224"/>
      <c r="I39" s="224"/>
      <c r="J39" s="224"/>
      <c r="K39" s="224"/>
      <c r="L39" s="224"/>
      <c r="M39" s="224"/>
      <c r="N39" s="224"/>
      <c r="O39" s="224"/>
      <c r="P39" s="224"/>
    </row>
    <row r="40" spans="1:18" ht="15" customHeight="1" x14ac:dyDescent="0.25">
      <c r="A40" s="224"/>
      <c r="B40" s="707" t="s">
        <v>1657</v>
      </c>
      <c r="C40" s="866"/>
      <c r="D40" s="866"/>
      <c r="E40" s="866"/>
      <c r="F40" s="866"/>
      <c r="G40" s="224"/>
      <c r="H40" s="224"/>
      <c r="I40" s="224"/>
      <c r="J40" s="224"/>
      <c r="K40" s="224"/>
      <c r="L40" s="224"/>
      <c r="M40" s="224"/>
      <c r="N40" s="224"/>
      <c r="O40" s="224"/>
      <c r="P40" s="224"/>
    </row>
    <row r="41" spans="1:18" ht="12" customHeight="1" x14ac:dyDescent="0.25">
      <c r="A41" s="224"/>
      <c r="B41" s="224"/>
      <c r="C41" s="224"/>
      <c r="D41" s="224"/>
      <c r="E41" s="224"/>
      <c r="F41" s="224"/>
      <c r="G41" s="224"/>
      <c r="H41" s="224"/>
      <c r="I41" s="224"/>
      <c r="J41" s="224"/>
      <c r="K41" s="224"/>
      <c r="L41" s="224"/>
      <c r="M41" s="224"/>
      <c r="N41" s="224"/>
      <c r="O41" s="224"/>
      <c r="P41" s="224"/>
    </row>
    <row r="42" spans="1:18" ht="17.25" customHeight="1" x14ac:dyDescent="0.25">
      <c r="A42" s="224"/>
      <c r="B42" s="1524" t="s">
        <v>1658</v>
      </c>
      <c r="C42" s="1524"/>
      <c r="D42" s="1524"/>
      <c r="E42" s="1729"/>
      <c r="F42" s="1729"/>
      <c r="G42" s="224"/>
      <c r="H42" s="224"/>
      <c r="I42" s="224"/>
      <c r="J42" s="224"/>
      <c r="K42" s="224"/>
      <c r="L42" s="224"/>
      <c r="M42" s="224"/>
      <c r="N42" s="224"/>
      <c r="O42" s="224"/>
      <c r="P42" s="224"/>
    </row>
    <row r="43" spans="1:18" ht="18" customHeight="1" x14ac:dyDescent="0.25">
      <c r="A43" s="224"/>
      <c r="B43" s="1524" t="s">
        <v>1644</v>
      </c>
      <c r="C43" s="1524"/>
      <c r="D43" s="1524"/>
      <c r="E43" s="1730" t="s">
        <v>129</v>
      </c>
      <c r="F43" s="1729"/>
      <c r="G43" s="224"/>
      <c r="H43" s="224"/>
      <c r="I43" s="224"/>
      <c r="J43" s="224"/>
      <c r="K43" s="224"/>
      <c r="L43" s="224"/>
      <c r="M43" s="224"/>
      <c r="N43" s="224"/>
      <c r="O43" s="224"/>
      <c r="P43" s="224"/>
      <c r="Q43" s="87"/>
      <c r="R43" s="87"/>
    </row>
    <row r="44" spans="1:18" ht="24.75" customHeight="1" x14ac:dyDescent="0.25">
      <c r="A44" s="224"/>
      <c r="B44" s="1524" t="s">
        <v>1645</v>
      </c>
      <c r="C44" s="1524"/>
      <c r="D44" s="1524"/>
      <c r="E44" s="1731"/>
      <c r="F44" s="1731"/>
      <c r="G44" s="1731"/>
      <c r="H44" s="1731"/>
      <c r="I44" s="1731"/>
      <c r="J44" s="1731"/>
      <c r="K44" s="1731"/>
      <c r="L44" s="1731"/>
      <c r="M44" s="1731"/>
      <c r="N44" s="224"/>
      <c r="O44" s="224"/>
      <c r="P44" s="224"/>
    </row>
    <row r="45" spans="1:18" ht="13.5" customHeight="1" x14ac:dyDescent="0.25">
      <c r="A45" s="224"/>
      <c r="B45" s="224"/>
      <c r="C45" s="224"/>
      <c r="D45" s="224"/>
      <c r="E45" s="224"/>
      <c r="F45" s="224"/>
      <c r="G45" s="224"/>
      <c r="H45" s="224"/>
      <c r="I45" s="224"/>
      <c r="J45" s="224"/>
      <c r="K45" s="224"/>
      <c r="L45" s="224"/>
      <c r="M45" s="224"/>
      <c r="N45" s="224"/>
      <c r="O45" s="224"/>
      <c r="P45" s="224"/>
    </row>
    <row r="46" spans="1:18" ht="12" customHeight="1" x14ac:dyDescent="0.25">
      <c r="A46" s="224"/>
      <c r="B46" s="991" t="s">
        <v>1910</v>
      </c>
      <c r="C46" s="224"/>
      <c r="D46" s="224"/>
      <c r="E46" s="224"/>
      <c r="F46" s="224"/>
      <c r="G46" s="224"/>
      <c r="H46" s="224"/>
      <c r="I46" s="224"/>
      <c r="J46" s="224"/>
      <c r="K46" s="224"/>
      <c r="L46" s="224"/>
      <c r="M46" s="224"/>
      <c r="N46" s="224"/>
      <c r="O46" s="224"/>
      <c r="P46" s="224"/>
    </row>
    <row r="47" spans="1:18" ht="24.75" customHeight="1" x14ac:dyDescent="0.25">
      <c r="A47" s="224"/>
      <c r="B47" s="1756" t="s">
        <v>705</v>
      </c>
      <c r="C47" s="1667"/>
      <c r="D47" s="1667"/>
      <c r="E47" s="1667" t="s">
        <v>1161</v>
      </c>
      <c r="F47" s="1732"/>
      <c r="G47" s="224"/>
      <c r="H47" s="224"/>
      <c r="I47" s="224"/>
      <c r="J47" s="224"/>
      <c r="K47" s="224"/>
      <c r="L47" s="224"/>
      <c r="M47" s="224"/>
      <c r="N47" s="224"/>
      <c r="O47" s="224"/>
      <c r="P47" s="224"/>
    </row>
    <row r="48" spans="1:18" x14ac:dyDescent="0.25">
      <c r="A48" s="224"/>
      <c r="B48" s="1665"/>
      <c r="C48" s="1665"/>
      <c r="D48" s="1665"/>
      <c r="E48" s="1665" t="s">
        <v>129</v>
      </c>
      <c r="F48" s="1665"/>
      <c r="G48" s="224"/>
      <c r="H48" s="224"/>
      <c r="I48" s="224"/>
      <c r="J48" s="224"/>
      <c r="K48" s="224"/>
      <c r="L48" s="224"/>
      <c r="M48" s="224"/>
      <c r="N48" s="224"/>
      <c r="O48" s="224"/>
      <c r="P48" s="224"/>
      <c r="Q48" s="42" t="str">
        <f>IF(AND(E48&lt;&gt;"Select",E48&lt;&gt;""),"Yes","No")</f>
        <v>No</v>
      </c>
    </row>
    <row r="49" spans="1:17" x14ac:dyDescent="0.25">
      <c r="A49" s="224"/>
      <c r="B49" s="1666"/>
      <c r="C49" s="1666"/>
      <c r="D49" s="1666"/>
      <c r="E49" s="1666" t="s">
        <v>129</v>
      </c>
      <c r="F49" s="1666"/>
      <c r="G49" s="224"/>
      <c r="H49" s="224"/>
      <c r="I49" s="224"/>
      <c r="J49" s="224"/>
      <c r="K49" s="224"/>
      <c r="L49" s="224"/>
      <c r="M49" s="224"/>
      <c r="N49" s="224"/>
      <c r="O49" s="224"/>
      <c r="P49" s="224"/>
      <c r="Q49" s="42" t="str">
        <f t="shared" ref="Q49:Q54" si="0">IF(AND(E49&lt;&gt;"Select",E49&lt;&gt;""),"Yes","No")</f>
        <v>No</v>
      </c>
    </row>
    <row r="50" spans="1:17" x14ac:dyDescent="0.25">
      <c r="A50" s="224"/>
      <c r="B50" s="1666"/>
      <c r="C50" s="1666"/>
      <c r="D50" s="1666"/>
      <c r="E50" s="1666" t="s">
        <v>129</v>
      </c>
      <c r="F50" s="1666"/>
      <c r="G50" s="224"/>
      <c r="H50" s="224"/>
      <c r="I50" s="224"/>
      <c r="J50" s="224"/>
      <c r="K50" s="224"/>
      <c r="L50" s="224"/>
      <c r="M50" s="224"/>
      <c r="N50" s="224"/>
      <c r="O50" s="224"/>
      <c r="P50" s="224"/>
      <c r="Q50" s="42" t="str">
        <f t="shared" si="0"/>
        <v>No</v>
      </c>
    </row>
    <row r="51" spans="1:17" x14ac:dyDescent="0.25">
      <c r="A51" s="224"/>
      <c r="B51" s="1666"/>
      <c r="C51" s="1666"/>
      <c r="D51" s="1666"/>
      <c r="E51" s="1666" t="s">
        <v>129</v>
      </c>
      <c r="F51" s="1666"/>
      <c r="G51" s="224"/>
      <c r="H51" s="224"/>
      <c r="I51" s="224"/>
      <c r="J51" s="224"/>
      <c r="K51" s="224"/>
      <c r="L51" s="224"/>
      <c r="M51" s="224"/>
      <c r="N51" s="224"/>
      <c r="O51" s="224"/>
      <c r="P51" s="224"/>
      <c r="Q51" s="42" t="str">
        <f t="shared" si="0"/>
        <v>No</v>
      </c>
    </row>
    <row r="52" spans="1:17" x14ac:dyDescent="0.25">
      <c r="A52" s="224"/>
      <c r="B52" s="1666"/>
      <c r="C52" s="1666"/>
      <c r="D52" s="1666"/>
      <c r="E52" s="1666" t="s">
        <v>129</v>
      </c>
      <c r="F52" s="1666"/>
      <c r="G52" s="224"/>
      <c r="H52" s="224"/>
      <c r="I52" s="224"/>
      <c r="J52" s="224"/>
      <c r="K52" s="224"/>
      <c r="L52" s="224"/>
      <c r="M52" s="224"/>
      <c r="N52" s="224"/>
      <c r="O52" s="224"/>
      <c r="P52" s="224"/>
      <c r="Q52" s="42" t="str">
        <f t="shared" si="0"/>
        <v>No</v>
      </c>
    </row>
    <row r="53" spans="1:17" x14ac:dyDescent="0.25">
      <c r="A53" s="224"/>
      <c r="B53" s="1666"/>
      <c r="C53" s="1666"/>
      <c r="D53" s="1666"/>
      <c r="E53" s="1666" t="s">
        <v>129</v>
      </c>
      <c r="F53" s="1666"/>
      <c r="G53" s="224"/>
      <c r="H53" s="224"/>
      <c r="I53" s="224"/>
      <c r="J53" s="224"/>
      <c r="K53" s="224"/>
      <c r="L53" s="224"/>
      <c r="M53" s="224"/>
      <c r="N53" s="224"/>
      <c r="O53" s="224"/>
      <c r="P53" s="224"/>
      <c r="Q53" s="42" t="str">
        <f t="shared" si="0"/>
        <v>No</v>
      </c>
    </row>
    <row r="54" spans="1:17" x14ac:dyDescent="0.25">
      <c r="A54" s="224"/>
      <c r="B54" s="224"/>
      <c r="C54" s="224"/>
      <c r="D54" s="224"/>
      <c r="E54" s="224"/>
      <c r="F54" s="224"/>
      <c r="G54" s="224"/>
      <c r="H54" s="224"/>
      <c r="I54" s="224"/>
      <c r="J54" s="224"/>
      <c r="K54" s="224"/>
      <c r="L54" s="224"/>
      <c r="M54" s="224"/>
      <c r="N54" s="224"/>
      <c r="O54" s="224"/>
      <c r="P54" s="224"/>
      <c r="Q54" s="42" t="str">
        <f t="shared" si="0"/>
        <v>No</v>
      </c>
    </row>
    <row r="55" spans="1:17" ht="18.75" customHeight="1" x14ac:dyDescent="0.25">
      <c r="A55" s="224"/>
      <c r="B55" s="1746" t="s">
        <v>1077</v>
      </c>
      <c r="C55" s="1747"/>
      <c r="D55" s="1748"/>
      <c r="E55" s="1733" t="str">
        <f>IF(AND(E42&lt;&gt;"",E43="Yes",E44&lt;&gt;"",COUNTIF(Q48:Q54,"Yes")&gt;1),"Yes","No")</f>
        <v>No</v>
      </c>
      <c r="F55" s="1734"/>
      <c r="G55" s="224"/>
      <c r="H55" s="224"/>
      <c r="I55" s="224"/>
      <c r="J55" s="224"/>
      <c r="K55" s="224"/>
      <c r="L55" s="224"/>
      <c r="M55" s="224"/>
      <c r="N55" s="224"/>
      <c r="O55" s="224"/>
      <c r="P55" s="224"/>
    </row>
    <row r="56" spans="1:17" ht="18" customHeight="1" x14ac:dyDescent="0.25">
      <c r="A56" s="224"/>
      <c r="B56" s="224"/>
      <c r="C56" s="224"/>
      <c r="D56" s="224"/>
      <c r="E56" s="224"/>
      <c r="F56" s="224"/>
      <c r="G56" s="224"/>
      <c r="H56" s="224"/>
      <c r="I56" s="224"/>
      <c r="J56" s="224"/>
      <c r="K56" s="224"/>
      <c r="L56" s="224"/>
      <c r="M56" s="224"/>
      <c r="N56" s="224"/>
      <c r="O56" s="224"/>
      <c r="P56" s="224"/>
    </row>
    <row r="57" spans="1:17" ht="16.5" customHeight="1" x14ac:dyDescent="0.25">
      <c r="A57" s="297" t="s">
        <v>200</v>
      </c>
      <c r="B57" s="69"/>
      <c r="C57" s="69"/>
      <c r="D57" s="224"/>
      <c r="E57" s="224"/>
      <c r="F57" s="224"/>
      <c r="G57" s="224"/>
      <c r="H57" s="224"/>
      <c r="I57" s="224"/>
      <c r="J57" s="224"/>
      <c r="K57" s="224"/>
      <c r="L57" s="224"/>
      <c r="M57" s="224"/>
      <c r="N57" s="224"/>
      <c r="O57" s="224"/>
      <c r="P57" s="224"/>
    </row>
    <row r="58" spans="1:17" x14ac:dyDescent="0.25">
      <c r="A58" s="224"/>
      <c r="B58" s="224"/>
      <c r="C58" s="224"/>
      <c r="D58" s="224"/>
      <c r="E58" s="224"/>
      <c r="F58" s="224"/>
      <c r="G58" s="224"/>
      <c r="H58" s="224"/>
      <c r="I58" s="224"/>
      <c r="J58" s="224"/>
      <c r="K58" s="224"/>
      <c r="L58" s="224"/>
      <c r="M58" s="224"/>
      <c r="N58" s="224"/>
      <c r="O58" s="224"/>
      <c r="P58" s="224"/>
    </row>
    <row r="59" spans="1:17" ht="18" customHeight="1" x14ac:dyDescent="0.25">
      <c r="A59" s="224"/>
      <c r="B59" s="1744" t="s">
        <v>2103</v>
      </c>
      <c r="C59" s="1745"/>
      <c r="D59" s="1745"/>
      <c r="E59" s="1745"/>
      <c r="F59" s="1745"/>
      <c r="G59" s="1745"/>
      <c r="H59" s="1745"/>
      <c r="I59" s="1728" t="s">
        <v>2101</v>
      </c>
      <c r="J59" s="1728"/>
      <c r="K59" s="1728" t="s">
        <v>2102</v>
      </c>
      <c r="L59" s="1728"/>
      <c r="M59" s="224"/>
      <c r="N59" s="224"/>
      <c r="O59" s="224"/>
      <c r="P59" s="224"/>
    </row>
    <row r="60" spans="1:17" ht="24" customHeight="1" x14ac:dyDescent="0.25">
      <c r="A60" s="224"/>
      <c r="B60" s="1436" t="s">
        <v>1894</v>
      </c>
      <c r="C60" s="1437"/>
      <c r="D60" s="1437"/>
      <c r="E60" s="1437"/>
      <c r="F60" s="1437"/>
      <c r="G60" s="1437"/>
      <c r="H60" s="1438"/>
      <c r="I60" s="1737" t="s">
        <v>129</v>
      </c>
      <c r="J60" s="1738"/>
      <c r="K60" s="1441"/>
      <c r="L60" s="1442"/>
      <c r="M60" s="224"/>
      <c r="N60" s="224"/>
      <c r="O60" s="224"/>
      <c r="P60" s="224"/>
    </row>
    <row r="61" spans="1:17" x14ac:dyDescent="0.25">
      <c r="A61" s="224"/>
      <c r="B61" s="224"/>
      <c r="C61" s="224"/>
      <c r="D61" s="224"/>
      <c r="E61" s="224"/>
      <c r="F61" s="224"/>
      <c r="G61" s="224"/>
      <c r="H61" s="224"/>
      <c r="I61" s="224"/>
      <c r="J61" s="224"/>
      <c r="K61" s="224"/>
      <c r="L61" s="224"/>
      <c r="M61" s="224"/>
      <c r="N61" s="224"/>
      <c r="O61" s="224"/>
      <c r="P61" s="224"/>
    </row>
    <row r="62" spans="1:17" ht="16.5" customHeight="1" x14ac:dyDescent="0.25">
      <c r="A62" s="297" t="s">
        <v>25</v>
      </c>
      <c r="B62" s="69"/>
      <c r="C62" s="69"/>
      <c r="D62" s="224"/>
      <c r="E62" s="224"/>
      <c r="F62" s="224"/>
      <c r="G62" s="224"/>
      <c r="H62" s="224"/>
      <c r="I62" s="224"/>
      <c r="J62" s="224"/>
      <c r="K62" s="224"/>
      <c r="L62" s="224"/>
      <c r="M62" s="224"/>
      <c r="N62" s="224"/>
      <c r="O62" s="224"/>
      <c r="P62" s="224"/>
    </row>
    <row r="63" spans="1:17" x14ac:dyDescent="0.25">
      <c r="A63" s="224"/>
      <c r="B63" s="224"/>
      <c r="C63" s="224"/>
      <c r="D63" s="224"/>
      <c r="E63" s="224"/>
      <c r="F63" s="224"/>
      <c r="G63" s="224"/>
      <c r="H63" s="224"/>
      <c r="I63" s="224"/>
      <c r="J63" s="224"/>
      <c r="K63" s="224"/>
      <c r="L63" s="224"/>
      <c r="M63" s="224"/>
      <c r="N63" s="224"/>
      <c r="O63" s="224"/>
      <c r="P63" s="224"/>
    </row>
    <row r="64" spans="1:17" ht="18" customHeight="1" x14ac:dyDescent="0.25">
      <c r="A64" s="224"/>
      <c r="B64" s="325" t="s">
        <v>56</v>
      </c>
      <c r="C64" s="1733">
        <f>IF(E55="Yes",1,0)</f>
        <v>0</v>
      </c>
      <c r="D64" s="1734"/>
      <c r="E64" s="224"/>
      <c r="F64" s="224"/>
      <c r="G64" s="224"/>
      <c r="H64" s="224"/>
      <c r="I64" s="224"/>
      <c r="J64" s="224"/>
      <c r="K64" s="224"/>
      <c r="L64" s="224"/>
      <c r="M64" s="224"/>
      <c r="N64" s="224"/>
      <c r="O64" s="224"/>
      <c r="P64" s="224"/>
    </row>
    <row r="65" spans="1:18" ht="18" customHeight="1" x14ac:dyDescent="0.25">
      <c r="A65" s="224"/>
      <c r="B65" s="208" t="s">
        <v>521</v>
      </c>
      <c r="C65" s="1733" t="str">
        <f>IF(AND(COUNTIF(I60,"Submitted")=1,C64&gt;0),"Yes","No")</f>
        <v>No</v>
      </c>
      <c r="D65" s="1734"/>
      <c r="E65" s="224"/>
      <c r="F65" s="224"/>
      <c r="G65" s="224"/>
      <c r="H65" s="224"/>
      <c r="I65" s="224"/>
      <c r="J65" s="224"/>
      <c r="K65" s="224"/>
      <c r="L65" s="224"/>
      <c r="M65" s="224"/>
      <c r="N65" s="224"/>
      <c r="O65" s="224"/>
      <c r="P65" s="224"/>
    </row>
    <row r="66" spans="1:18" ht="21" customHeight="1" x14ac:dyDescent="0.25">
      <c r="A66" s="224"/>
      <c r="B66" s="224"/>
      <c r="C66" s="224"/>
      <c r="D66" s="224"/>
      <c r="E66" s="224"/>
      <c r="F66" s="224"/>
      <c r="G66" s="224"/>
      <c r="H66" s="224"/>
      <c r="I66" s="224"/>
      <c r="J66" s="224"/>
      <c r="K66" s="224"/>
      <c r="L66" s="224"/>
      <c r="M66" s="224"/>
      <c r="N66" s="224"/>
      <c r="O66" s="224"/>
      <c r="P66" s="224"/>
    </row>
    <row r="67" spans="1:18" ht="18" customHeight="1" x14ac:dyDescent="0.25">
      <c r="A67" s="1684" t="s">
        <v>1154</v>
      </c>
      <c r="B67" s="1684"/>
      <c r="C67" s="1684"/>
      <c r="D67" s="1684"/>
      <c r="E67" s="1684"/>
      <c r="F67" s="1684"/>
      <c r="G67" s="1684"/>
      <c r="H67" s="1684"/>
      <c r="I67" s="1684"/>
      <c r="J67" s="1684"/>
      <c r="K67" s="1684"/>
      <c r="L67" s="1684"/>
      <c r="M67" s="1684"/>
      <c r="N67" s="1684"/>
      <c r="O67" s="1684"/>
      <c r="P67" s="1684"/>
    </row>
    <row r="68" spans="1:18" ht="18" customHeight="1" x14ac:dyDescent="0.25">
      <c r="A68" s="213"/>
      <c r="B68" s="213"/>
      <c r="C68" s="213"/>
      <c r="D68" s="213"/>
      <c r="E68" s="213"/>
      <c r="F68" s="213"/>
      <c r="G68" s="213"/>
      <c r="H68" s="213"/>
      <c r="I68" s="213"/>
      <c r="J68" s="213"/>
      <c r="K68" s="213"/>
      <c r="L68" s="224"/>
      <c r="M68" s="224"/>
      <c r="N68" s="224"/>
      <c r="O68" s="224"/>
      <c r="P68" s="224"/>
    </row>
    <row r="69" spans="1:18" ht="16.5" customHeight="1" x14ac:dyDescent="0.25">
      <c r="A69" s="297" t="s">
        <v>265</v>
      </c>
      <c r="B69" s="69"/>
      <c r="C69" s="69"/>
      <c r="D69" s="224"/>
      <c r="E69" s="224"/>
      <c r="F69" s="224"/>
      <c r="G69" s="224"/>
      <c r="H69" s="224"/>
      <c r="I69" s="224"/>
      <c r="J69" s="224"/>
      <c r="K69" s="224"/>
      <c r="L69" s="224"/>
      <c r="M69" s="224"/>
      <c r="N69" s="224"/>
      <c r="O69" s="224"/>
      <c r="P69" s="224"/>
    </row>
    <row r="70" spans="1:18" ht="16.5" customHeight="1" x14ac:dyDescent="0.25">
      <c r="A70" s="224"/>
      <c r="B70" s="224"/>
      <c r="C70" s="224"/>
      <c r="D70" s="224"/>
      <c r="E70" s="224"/>
      <c r="F70" s="224"/>
      <c r="G70" s="224"/>
      <c r="H70" s="224"/>
      <c r="I70" s="224"/>
      <c r="J70" s="224"/>
      <c r="K70" s="224"/>
      <c r="L70" s="224"/>
      <c r="M70" s="224"/>
      <c r="N70" s="224"/>
      <c r="O70" s="224"/>
      <c r="P70" s="224"/>
    </row>
    <row r="71" spans="1:18" x14ac:dyDescent="0.25">
      <c r="A71" s="224"/>
      <c r="B71" s="1765" t="s">
        <v>1905</v>
      </c>
      <c r="C71" s="1766"/>
      <c r="D71" s="1766"/>
      <c r="E71" s="1766"/>
      <c r="F71" s="1766"/>
      <c r="G71" s="1766"/>
      <c r="H71" s="1766"/>
      <c r="I71" s="1766"/>
      <c r="J71" s="1767"/>
      <c r="K71" s="224"/>
      <c r="L71" s="224"/>
      <c r="M71" s="224"/>
      <c r="N71" s="224"/>
      <c r="O71" s="224"/>
      <c r="P71" s="224"/>
    </row>
    <row r="72" spans="1:18" x14ac:dyDescent="0.25">
      <c r="A72" s="224"/>
      <c r="B72" s="854" t="s">
        <v>706</v>
      </c>
      <c r="C72" s="635"/>
      <c r="D72" s="635"/>
      <c r="E72" s="635"/>
      <c r="F72" s="635"/>
      <c r="G72" s="635"/>
      <c r="H72" s="635"/>
      <c r="I72" s="635"/>
      <c r="J72" s="641"/>
      <c r="K72" s="224"/>
      <c r="L72" s="224"/>
      <c r="M72" s="224"/>
      <c r="N72" s="224"/>
      <c r="O72" s="224"/>
      <c r="P72" s="224"/>
    </row>
    <row r="73" spans="1:18" x14ac:dyDescent="0.25">
      <c r="A73" s="224"/>
      <c r="B73" s="854" t="s">
        <v>707</v>
      </c>
      <c r="C73" s="635"/>
      <c r="D73" s="635"/>
      <c r="E73" s="635"/>
      <c r="F73" s="635"/>
      <c r="G73" s="635"/>
      <c r="H73" s="635"/>
      <c r="I73" s="635"/>
      <c r="J73" s="641"/>
      <c r="K73" s="224"/>
      <c r="L73" s="224"/>
      <c r="M73" s="224"/>
      <c r="N73" s="224"/>
      <c r="O73" s="224"/>
      <c r="P73" s="224"/>
    </row>
    <row r="74" spans="1:18" x14ac:dyDescent="0.25">
      <c r="A74" s="224"/>
      <c r="B74" s="854" t="s">
        <v>708</v>
      </c>
      <c r="C74" s="635"/>
      <c r="D74" s="635"/>
      <c r="E74" s="635"/>
      <c r="F74" s="635"/>
      <c r="G74" s="635"/>
      <c r="H74" s="635"/>
      <c r="I74" s="635"/>
      <c r="J74" s="641"/>
      <c r="K74" s="224"/>
      <c r="L74" s="224"/>
      <c r="M74" s="224"/>
      <c r="N74" s="224"/>
      <c r="O74" s="224"/>
      <c r="P74" s="224"/>
    </row>
    <row r="75" spans="1:18" x14ac:dyDescent="0.25">
      <c r="A75" s="224"/>
      <c r="B75" s="855" t="s">
        <v>1906</v>
      </c>
      <c r="C75" s="643"/>
      <c r="D75" s="643"/>
      <c r="E75" s="643"/>
      <c r="F75" s="643"/>
      <c r="G75" s="643"/>
      <c r="H75" s="643"/>
      <c r="I75" s="643"/>
      <c r="J75" s="644"/>
      <c r="K75" s="224"/>
      <c r="L75" s="224"/>
      <c r="M75" s="224"/>
      <c r="N75" s="224"/>
      <c r="O75" s="224"/>
      <c r="P75" s="224"/>
    </row>
    <row r="76" spans="1:18" x14ac:dyDescent="0.25">
      <c r="A76" s="224"/>
      <c r="B76" s="224"/>
      <c r="C76" s="224"/>
      <c r="D76" s="224"/>
      <c r="E76" s="224"/>
      <c r="F76" s="224"/>
      <c r="G76" s="224"/>
      <c r="H76" s="224"/>
      <c r="I76" s="224"/>
      <c r="J76" s="224"/>
      <c r="K76" s="224"/>
      <c r="L76" s="224"/>
      <c r="M76" s="224"/>
      <c r="N76" s="224"/>
      <c r="O76" s="224"/>
      <c r="P76" s="224"/>
    </row>
    <row r="77" spans="1:18" ht="18" customHeight="1" x14ac:dyDescent="0.25">
      <c r="A77" s="224"/>
      <c r="B77" s="1524" t="s">
        <v>1642</v>
      </c>
      <c r="C77" s="1524"/>
      <c r="D77" s="1524"/>
      <c r="E77" s="1730" t="s">
        <v>129</v>
      </c>
      <c r="F77" s="1729"/>
      <c r="G77" s="224"/>
      <c r="H77" s="224"/>
      <c r="I77" s="224"/>
      <c r="J77" s="224"/>
      <c r="K77" s="224"/>
      <c r="L77" s="224"/>
      <c r="M77" s="224"/>
      <c r="N77" s="224"/>
      <c r="O77" s="224"/>
      <c r="P77" s="224"/>
      <c r="Q77" s="87" t="b">
        <v>1</v>
      </c>
      <c r="R77" s="87"/>
    </row>
    <row r="78" spans="1:18" ht="25.5" customHeight="1" x14ac:dyDescent="0.25">
      <c r="A78" s="224"/>
      <c r="B78" s="1524" t="s">
        <v>1643</v>
      </c>
      <c r="C78" s="1524"/>
      <c r="D78" s="1524"/>
      <c r="E78" s="1740"/>
      <c r="F78" s="1741"/>
      <c r="G78" s="1741"/>
      <c r="H78" s="1741"/>
      <c r="I78" s="1741"/>
      <c r="J78" s="1741"/>
      <c r="K78" s="1741"/>
      <c r="L78" s="1741"/>
      <c r="M78" s="1742"/>
      <c r="N78" s="224"/>
      <c r="O78" s="224"/>
      <c r="P78" s="224"/>
    </row>
    <row r="79" spans="1:18" ht="20.25" customHeight="1" x14ac:dyDescent="0.25">
      <c r="A79" s="224"/>
      <c r="B79" s="224"/>
      <c r="C79" s="224"/>
      <c r="D79" s="224"/>
      <c r="E79" s="224"/>
      <c r="F79" s="224"/>
      <c r="G79" s="224"/>
      <c r="H79" s="224"/>
      <c r="I79" s="224"/>
      <c r="J79" s="224"/>
      <c r="K79" s="224"/>
      <c r="L79" s="224"/>
      <c r="M79" s="224"/>
      <c r="N79" s="224"/>
      <c r="O79" s="224"/>
      <c r="P79" s="224"/>
    </row>
    <row r="80" spans="1:18" ht="20.25" customHeight="1" x14ac:dyDescent="0.25">
      <c r="A80" s="224"/>
      <c r="B80" s="1746" t="s">
        <v>1078</v>
      </c>
      <c r="C80" s="1747"/>
      <c r="D80" s="1748"/>
      <c r="E80" s="12" t="str">
        <f>IF(AND(E77="Yes",E78&lt;&gt;""),"Yes","No")</f>
        <v>No</v>
      </c>
      <c r="F80" s="224"/>
      <c r="G80" s="224"/>
      <c r="H80" s="224"/>
      <c r="I80" s="224"/>
      <c r="J80" s="224"/>
      <c r="K80" s="224"/>
      <c r="L80" s="224"/>
      <c r="M80" s="224"/>
      <c r="N80" s="224"/>
      <c r="O80" s="224"/>
      <c r="P80" s="224"/>
    </row>
    <row r="81" spans="1:16" ht="20.25" customHeight="1" x14ac:dyDescent="0.25">
      <c r="A81" s="224"/>
      <c r="B81" s="224"/>
      <c r="C81" s="224"/>
      <c r="D81" s="224"/>
      <c r="E81" s="224"/>
      <c r="F81" s="224"/>
      <c r="G81" s="224"/>
      <c r="H81" s="224"/>
      <c r="I81" s="224"/>
      <c r="J81" s="224"/>
      <c r="K81" s="224"/>
      <c r="L81" s="224"/>
      <c r="M81" s="224"/>
      <c r="N81" s="224"/>
      <c r="O81" s="224"/>
      <c r="P81" s="224"/>
    </row>
    <row r="82" spans="1:16" ht="16.5" customHeight="1" x14ac:dyDescent="0.25">
      <c r="A82" s="297" t="s">
        <v>200</v>
      </c>
      <c r="B82" s="69"/>
      <c r="C82" s="69"/>
      <c r="D82" s="224"/>
      <c r="E82" s="224"/>
      <c r="F82" s="224"/>
      <c r="G82" s="224"/>
      <c r="H82" s="224"/>
      <c r="I82" s="224"/>
      <c r="J82" s="224"/>
      <c r="K82" s="224"/>
      <c r="L82" s="224"/>
      <c r="M82" s="224"/>
      <c r="N82" s="224"/>
      <c r="O82" s="224"/>
      <c r="P82" s="224"/>
    </row>
    <row r="83" spans="1:16" x14ac:dyDescent="0.25">
      <c r="A83" s="224"/>
      <c r="B83" s="224"/>
      <c r="C83" s="224"/>
      <c r="D83" s="224"/>
      <c r="E83" s="224"/>
      <c r="F83" s="224"/>
      <c r="G83" s="224"/>
      <c r="H83" s="224"/>
      <c r="I83" s="224"/>
      <c r="J83" s="224"/>
      <c r="K83" s="224"/>
      <c r="L83" s="224"/>
      <c r="M83" s="224"/>
      <c r="N83" s="224"/>
      <c r="O83" s="224"/>
      <c r="P83" s="224"/>
    </row>
    <row r="84" spans="1:16" ht="18" customHeight="1" x14ac:dyDescent="0.25">
      <c r="A84" s="224"/>
      <c r="B84" s="1744" t="s">
        <v>2103</v>
      </c>
      <c r="C84" s="1745"/>
      <c r="D84" s="1745"/>
      <c r="E84" s="1745"/>
      <c r="F84" s="1745"/>
      <c r="G84" s="1745"/>
      <c r="H84" s="1745"/>
      <c r="I84" s="1728" t="s">
        <v>2101</v>
      </c>
      <c r="J84" s="1728"/>
      <c r="K84" s="1728" t="s">
        <v>2102</v>
      </c>
      <c r="L84" s="1728"/>
      <c r="M84" s="224"/>
      <c r="N84" s="224"/>
      <c r="O84" s="224"/>
      <c r="P84" s="224"/>
    </row>
    <row r="85" spans="1:16" ht="24.75" customHeight="1" x14ac:dyDescent="0.25">
      <c r="A85" s="224"/>
      <c r="B85" s="1436" t="s">
        <v>1895</v>
      </c>
      <c r="C85" s="1437"/>
      <c r="D85" s="1437"/>
      <c r="E85" s="1437"/>
      <c r="F85" s="1437"/>
      <c r="G85" s="1437"/>
      <c r="H85" s="1438"/>
      <c r="I85" s="1737" t="s">
        <v>129</v>
      </c>
      <c r="J85" s="1738"/>
      <c r="K85" s="1441"/>
      <c r="L85" s="1442"/>
      <c r="M85" s="224"/>
      <c r="N85" s="224"/>
      <c r="O85" s="224"/>
      <c r="P85" s="224"/>
    </row>
    <row r="86" spans="1:16" x14ac:dyDescent="0.25">
      <c r="A86" s="224"/>
      <c r="B86" s="224"/>
      <c r="C86" s="224"/>
      <c r="D86" s="224"/>
      <c r="E86" s="224"/>
      <c r="F86" s="224"/>
      <c r="G86" s="224"/>
      <c r="H86" s="224"/>
      <c r="I86" s="224"/>
      <c r="J86" s="224"/>
      <c r="K86" s="224"/>
      <c r="L86" s="224"/>
      <c r="M86" s="224"/>
      <c r="N86" s="224"/>
      <c r="O86" s="224"/>
      <c r="P86" s="224"/>
    </row>
    <row r="87" spans="1:16" ht="16.5" customHeight="1" x14ac:dyDescent="0.25">
      <c r="A87" s="297" t="s">
        <v>25</v>
      </c>
      <c r="B87" s="69"/>
      <c r="C87" s="69"/>
      <c r="D87" s="224"/>
      <c r="E87" s="224"/>
      <c r="F87" s="224"/>
      <c r="G87" s="224"/>
      <c r="H87" s="224"/>
      <c r="I87" s="224"/>
      <c r="J87" s="224"/>
      <c r="K87" s="224"/>
      <c r="L87" s="224"/>
      <c r="M87" s="224"/>
      <c r="N87" s="224"/>
      <c r="O87" s="224"/>
      <c r="P87" s="224"/>
    </row>
    <row r="88" spans="1:16" x14ac:dyDescent="0.25">
      <c r="A88" s="224"/>
      <c r="B88" s="224"/>
      <c r="C88" s="224"/>
      <c r="D88" s="224"/>
      <c r="E88" s="224"/>
      <c r="F88" s="224"/>
      <c r="G88" s="224"/>
      <c r="H88" s="224"/>
      <c r="I88" s="224"/>
      <c r="J88" s="224"/>
      <c r="K88" s="224"/>
      <c r="L88" s="224"/>
      <c r="M88" s="224"/>
      <c r="N88" s="224"/>
      <c r="O88" s="224"/>
      <c r="P88" s="224"/>
    </row>
    <row r="89" spans="1:16" ht="18" customHeight="1" x14ac:dyDescent="0.25">
      <c r="A89" s="224"/>
      <c r="B89" s="238" t="s">
        <v>56</v>
      </c>
      <c r="C89" s="1733">
        <f>IF(E80="Yes",1,0)</f>
        <v>0</v>
      </c>
      <c r="D89" s="1734"/>
      <c r="E89" s="224"/>
      <c r="F89" s="224"/>
      <c r="G89" s="224"/>
      <c r="H89" s="224"/>
      <c r="I89" s="224"/>
      <c r="J89" s="224"/>
      <c r="K89" s="224"/>
      <c r="L89" s="224"/>
      <c r="M89" s="224"/>
      <c r="N89" s="224"/>
      <c r="O89" s="224"/>
      <c r="P89" s="224"/>
    </row>
    <row r="90" spans="1:16" ht="18" customHeight="1" x14ac:dyDescent="0.25">
      <c r="A90" s="224"/>
      <c r="B90" s="208" t="s">
        <v>521</v>
      </c>
      <c r="C90" s="1733" t="str">
        <f>IF(AND(COUNTIF(I85,"Submitted")=1,C89&gt;0),"Yes","No")</f>
        <v>No</v>
      </c>
      <c r="D90" s="1734"/>
      <c r="E90" s="224"/>
      <c r="F90" s="224"/>
      <c r="G90" s="224"/>
      <c r="H90" s="224"/>
      <c r="I90" s="224"/>
      <c r="J90" s="224"/>
      <c r="K90" s="224"/>
      <c r="L90" s="224"/>
      <c r="M90" s="224"/>
      <c r="N90" s="224"/>
      <c r="O90" s="224"/>
      <c r="P90" s="224"/>
    </row>
    <row r="91" spans="1:16" ht="20.25" customHeight="1" x14ac:dyDescent="0.25">
      <c r="A91" s="224"/>
      <c r="B91" s="224"/>
      <c r="C91" s="224"/>
      <c r="D91" s="224"/>
      <c r="E91" s="224"/>
      <c r="F91" s="224"/>
      <c r="G91" s="224"/>
      <c r="H91" s="224"/>
      <c r="I91" s="224"/>
      <c r="J91" s="224"/>
      <c r="K91" s="224"/>
      <c r="L91" s="224"/>
      <c r="M91" s="224"/>
      <c r="N91" s="224"/>
      <c r="O91" s="224"/>
      <c r="P91" s="224"/>
    </row>
    <row r="92" spans="1:16" ht="18" customHeight="1" x14ac:dyDescent="0.25">
      <c r="A92" s="1718" t="s">
        <v>15</v>
      </c>
      <c r="B92" s="1718"/>
      <c r="C92" s="1718"/>
      <c r="D92" s="1718"/>
      <c r="E92" s="1718"/>
      <c r="F92" s="1718"/>
      <c r="G92" s="1718"/>
      <c r="H92" s="1718"/>
      <c r="I92" s="1718"/>
      <c r="J92" s="1718"/>
      <c r="K92" s="1718"/>
      <c r="L92" s="1718"/>
      <c r="M92" s="1718"/>
      <c r="N92" s="1718"/>
      <c r="O92" s="1718"/>
      <c r="P92" s="1718"/>
    </row>
    <row r="93" spans="1:16" x14ac:dyDescent="0.25">
      <c r="A93" s="375"/>
      <c r="B93" s="375"/>
      <c r="C93" s="375"/>
      <c r="D93" s="375"/>
      <c r="E93" s="375"/>
      <c r="F93" s="375"/>
      <c r="G93" s="375"/>
      <c r="H93" s="375"/>
      <c r="I93" s="375"/>
      <c r="J93" s="375"/>
      <c r="K93" s="375"/>
      <c r="L93" s="375"/>
      <c r="M93" s="375"/>
      <c r="N93" s="375"/>
      <c r="O93" s="375"/>
      <c r="P93" s="375"/>
    </row>
    <row r="94" spans="1:16" ht="16.5" customHeight="1" x14ac:dyDescent="0.25">
      <c r="A94" s="1684" t="s">
        <v>265</v>
      </c>
      <c r="B94" s="1684"/>
      <c r="C94" s="1684"/>
      <c r="D94" s="375"/>
      <c r="E94" s="375"/>
      <c r="F94" s="375"/>
      <c r="G94" s="375"/>
      <c r="H94" s="375"/>
      <c r="I94" s="375"/>
      <c r="J94" s="375"/>
      <c r="K94" s="375"/>
      <c r="L94" s="375"/>
      <c r="M94" s="375"/>
      <c r="N94" s="375"/>
      <c r="O94" s="375"/>
      <c r="P94" s="375"/>
    </row>
    <row r="95" spans="1:16" x14ac:dyDescent="0.25">
      <c r="A95" s="375"/>
      <c r="B95" s="375"/>
      <c r="C95" s="375"/>
      <c r="D95" s="375"/>
      <c r="E95" s="375"/>
      <c r="F95" s="375"/>
      <c r="G95" s="375"/>
      <c r="H95" s="375"/>
      <c r="I95" s="375"/>
      <c r="J95" s="375"/>
      <c r="K95" s="375"/>
      <c r="L95" s="375"/>
      <c r="M95" s="375"/>
      <c r="N95" s="375"/>
      <c r="O95" s="375"/>
      <c r="P95" s="375"/>
    </row>
    <row r="96" spans="1:16" x14ac:dyDescent="0.25">
      <c r="A96" s="375"/>
      <c r="B96" s="794" t="s">
        <v>1638</v>
      </c>
      <c r="C96" s="375"/>
      <c r="D96" s="375"/>
      <c r="E96" s="375"/>
      <c r="F96" s="375"/>
      <c r="G96" s="375"/>
      <c r="H96" s="375"/>
      <c r="I96" s="375"/>
      <c r="J96" s="375"/>
      <c r="K96" s="375"/>
      <c r="L96" s="375"/>
      <c r="M96" s="375"/>
      <c r="N96" s="375"/>
      <c r="O96" s="375"/>
      <c r="P96" s="375"/>
    </row>
    <row r="97" spans="1:16" x14ac:dyDescent="0.25">
      <c r="A97" s="375"/>
      <c r="B97" s="375"/>
      <c r="C97" s="375"/>
      <c r="D97" s="375"/>
      <c r="E97" s="375"/>
      <c r="F97" s="375"/>
      <c r="G97" s="375"/>
      <c r="H97" s="375"/>
      <c r="I97" s="375"/>
      <c r="J97" s="375"/>
      <c r="K97" s="375"/>
      <c r="L97" s="375"/>
      <c r="M97" s="375"/>
      <c r="N97" s="375"/>
      <c r="O97" s="375"/>
      <c r="P97" s="375"/>
    </row>
    <row r="98" spans="1:16" x14ac:dyDescent="0.25">
      <c r="A98" s="375"/>
      <c r="B98" s="653" t="s">
        <v>1639</v>
      </c>
      <c r="C98" s="638"/>
      <c r="D98" s="638"/>
      <c r="E98" s="638"/>
      <c r="F98" s="638"/>
      <c r="G98" s="638"/>
      <c r="H98" s="638"/>
      <c r="I98" s="639"/>
      <c r="J98" s="375"/>
      <c r="K98" s="375"/>
      <c r="L98" s="375"/>
      <c r="M98" s="375"/>
      <c r="N98" s="375"/>
      <c r="O98" s="375"/>
      <c r="P98" s="375"/>
    </row>
    <row r="99" spans="1:16" x14ac:dyDescent="0.25">
      <c r="A99" s="375"/>
      <c r="B99" s="854" t="s">
        <v>1826</v>
      </c>
      <c r="C99" s="635"/>
      <c r="D99" s="635"/>
      <c r="E99" s="635"/>
      <c r="F99" s="635"/>
      <c r="G99" s="635"/>
      <c r="H99" s="635"/>
      <c r="I99" s="641"/>
      <c r="J99" s="375"/>
      <c r="K99" s="375"/>
      <c r="L99" s="375"/>
      <c r="M99" s="375"/>
      <c r="N99" s="375"/>
      <c r="O99" s="375"/>
      <c r="P99" s="375"/>
    </row>
    <row r="100" spans="1:16" x14ac:dyDescent="0.25">
      <c r="A100" s="375"/>
      <c r="B100" s="862" t="s">
        <v>1822</v>
      </c>
      <c r="C100" s="635"/>
      <c r="D100" s="635"/>
      <c r="E100" s="635"/>
      <c r="F100" s="635"/>
      <c r="G100" s="635"/>
      <c r="H100" s="635"/>
      <c r="I100" s="641"/>
      <c r="J100" s="375"/>
      <c r="K100" s="375"/>
      <c r="L100" s="375"/>
      <c r="M100" s="375"/>
      <c r="N100" s="375"/>
      <c r="O100" s="375"/>
      <c r="P100" s="375"/>
    </row>
    <row r="101" spans="1:16" x14ac:dyDescent="0.25">
      <c r="A101" s="375"/>
      <c r="B101" s="862" t="s">
        <v>1823</v>
      </c>
      <c r="C101" s="635"/>
      <c r="D101" s="635"/>
      <c r="E101" s="635"/>
      <c r="F101" s="635"/>
      <c r="G101" s="635"/>
      <c r="H101" s="635"/>
      <c r="I101" s="641"/>
      <c r="J101" s="375"/>
      <c r="K101" s="375"/>
      <c r="L101" s="375"/>
      <c r="M101" s="375"/>
      <c r="N101" s="375"/>
      <c r="O101" s="375"/>
      <c r="P101" s="375"/>
    </row>
    <row r="102" spans="1:16" x14ac:dyDescent="0.25">
      <c r="A102" s="375"/>
      <c r="B102" s="862" t="s">
        <v>1827</v>
      </c>
      <c r="C102" s="635"/>
      <c r="D102" s="635"/>
      <c r="E102" s="635"/>
      <c r="F102" s="635"/>
      <c r="G102" s="635"/>
      <c r="H102" s="635"/>
      <c r="I102" s="641"/>
      <c r="J102" s="375"/>
      <c r="K102" s="375"/>
      <c r="L102" s="375"/>
      <c r="M102" s="375"/>
      <c r="N102" s="375"/>
      <c r="O102" s="375"/>
      <c r="P102" s="375"/>
    </row>
    <row r="103" spans="1:16" x14ac:dyDescent="0.25">
      <c r="A103" s="375"/>
      <c r="B103" s="854" t="s">
        <v>1640</v>
      </c>
      <c r="C103" s="635"/>
      <c r="D103" s="635"/>
      <c r="E103" s="635"/>
      <c r="F103" s="635"/>
      <c r="G103" s="635"/>
      <c r="H103" s="635"/>
      <c r="I103" s="641"/>
      <c r="J103" s="375"/>
      <c r="K103" s="375"/>
      <c r="L103" s="375"/>
      <c r="M103" s="375"/>
      <c r="N103" s="375"/>
      <c r="O103" s="375"/>
      <c r="P103" s="375"/>
    </row>
    <row r="104" spans="1:16" x14ac:dyDescent="0.25">
      <c r="A104" s="375"/>
      <c r="B104" s="862" t="s">
        <v>1824</v>
      </c>
      <c r="C104" s="635"/>
      <c r="D104" s="635"/>
      <c r="E104" s="635"/>
      <c r="F104" s="635"/>
      <c r="G104" s="635"/>
      <c r="H104" s="635"/>
      <c r="I104" s="641"/>
      <c r="J104" s="375"/>
      <c r="K104" s="375"/>
      <c r="L104" s="375"/>
      <c r="M104" s="375"/>
      <c r="N104" s="375"/>
      <c r="O104" s="375"/>
      <c r="P104" s="375"/>
    </row>
    <row r="105" spans="1:16" x14ac:dyDescent="0.25">
      <c r="A105" s="375"/>
      <c r="B105" s="862" t="s">
        <v>1828</v>
      </c>
      <c r="C105" s="635"/>
      <c r="D105" s="635"/>
      <c r="E105" s="635"/>
      <c r="F105" s="635"/>
      <c r="G105" s="635"/>
      <c r="H105" s="635"/>
      <c r="I105" s="641"/>
      <c r="J105" s="375"/>
      <c r="K105" s="375"/>
      <c r="L105" s="375"/>
      <c r="M105" s="375"/>
      <c r="N105" s="375"/>
      <c r="O105" s="375"/>
      <c r="P105" s="375"/>
    </row>
    <row r="106" spans="1:16" x14ac:dyDescent="0.25">
      <c r="A106" s="375"/>
      <c r="B106" s="914" t="s">
        <v>1641</v>
      </c>
      <c r="C106" s="643"/>
      <c r="D106" s="643"/>
      <c r="E106" s="643"/>
      <c r="F106" s="643"/>
      <c r="G106" s="643"/>
      <c r="H106" s="643"/>
      <c r="I106" s="644"/>
      <c r="J106" s="375"/>
      <c r="K106" s="375"/>
      <c r="L106" s="375"/>
      <c r="M106" s="375"/>
      <c r="N106" s="375"/>
      <c r="O106" s="375"/>
      <c r="P106" s="375"/>
    </row>
    <row r="107" spans="1:16" x14ac:dyDescent="0.25">
      <c r="A107" s="375"/>
      <c r="B107" s="375"/>
      <c r="C107" s="375"/>
      <c r="D107" s="375"/>
      <c r="E107" s="375"/>
      <c r="F107" s="375"/>
      <c r="G107" s="375"/>
      <c r="H107" s="375"/>
      <c r="I107" s="375"/>
      <c r="J107" s="375"/>
      <c r="K107" s="375"/>
      <c r="L107" s="375"/>
      <c r="M107" s="375"/>
      <c r="N107" s="375"/>
      <c r="O107" s="375"/>
      <c r="P107" s="375"/>
    </row>
    <row r="108" spans="1:16" ht="16.5" customHeight="1" x14ac:dyDescent="0.25">
      <c r="A108" s="1684" t="s">
        <v>26</v>
      </c>
      <c r="B108" s="1684"/>
      <c r="C108" s="1684"/>
      <c r="D108" s="375"/>
      <c r="E108" s="375"/>
      <c r="F108" s="375"/>
      <c r="G108" s="375"/>
      <c r="H108" s="375"/>
      <c r="I108" s="375"/>
      <c r="J108" s="375"/>
      <c r="K108" s="375"/>
      <c r="L108" s="375"/>
      <c r="M108" s="375"/>
      <c r="N108" s="375"/>
      <c r="O108" s="375"/>
      <c r="P108" s="375"/>
    </row>
    <row r="109" spans="1:16" x14ac:dyDescent="0.25">
      <c r="A109" s="375"/>
      <c r="B109" s="375"/>
      <c r="C109" s="375"/>
      <c r="D109" s="375"/>
      <c r="E109" s="375"/>
      <c r="F109" s="375"/>
      <c r="G109" s="375"/>
      <c r="H109" s="375"/>
      <c r="I109" s="375"/>
      <c r="J109" s="375"/>
      <c r="K109" s="375"/>
      <c r="L109" s="375"/>
      <c r="M109" s="375"/>
      <c r="N109" s="375"/>
      <c r="O109" s="375"/>
      <c r="P109" s="375"/>
    </row>
    <row r="110" spans="1:16" ht="18" customHeight="1" x14ac:dyDescent="0.25">
      <c r="A110" s="375"/>
      <c r="B110" s="180" t="s">
        <v>205</v>
      </c>
      <c r="C110" s="1666" t="s">
        <v>129</v>
      </c>
      <c r="D110" s="1666"/>
      <c r="E110" s="375"/>
      <c r="F110" s="375"/>
      <c r="G110" s="375"/>
      <c r="H110" s="375"/>
      <c r="I110" s="375"/>
      <c r="J110" s="375"/>
      <c r="K110" s="375"/>
      <c r="L110" s="375"/>
      <c r="M110" s="375"/>
      <c r="N110" s="375"/>
      <c r="O110" s="375"/>
      <c r="P110" s="375"/>
    </row>
    <row r="111" spans="1:16" x14ac:dyDescent="0.25">
      <c r="A111" s="375"/>
      <c r="B111" s="375"/>
      <c r="C111" s="375"/>
      <c r="D111" s="375"/>
      <c r="E111" s="375"/>
      <c r="F111" s="375"/>
      <c r="G111" s="375"/>
      <c r="H111" s="375"/>
      <c r="I111" s="375"/>
      <c r="J111" s="375"/>
      <c r="K111" s="375"/>
      <c r="L111" s="375"/>
      <c r="M111" s="375"/>
      <c r="N111" s="375"/>
      <c r="O111" s="375"/>
      <c r="P111" s="375"/>
    </row>
    <row r="112" spans="1:16" ht="31.5" x14ac:dyDescent="0.25">
      <c r="A112" s="375"/>
      <c r="B112" s="375"/>
      <c r="C112" s="179" t="s">
        <v>406</v>
      </c>
      <c r="D112" s="179" t="s">
        <v>407</v>
      </c>
      <c r="E112" s="179" t="s">
        <v>408</v>
      </c>
      <c r="F112" s="179" t="s">
        <v>409</v>
      </c>
      <c r="G112" s="179" t="s">
        <v>410</v>
      </c>
      <c r="H112" s="179" t="s">
        <v>411</v>
      </c>
      <c r="I112" s="179" t="s">
        <v>412</v>
      </c>
      <c r="J112" s="179" t="s">
        <v>413</v>
      </c>
      <c r="K112" s="179" t="s">
        <v>414</v>
      </c>
      <c r="L112" s="179" t="s">
        <v>415</v>
      </c>
      <c r="M112" s="179" t="s">
        <v>416</v>
      </c>
      <c r="N112" s="179" t="s">
        <v>417</v>
      </c>
      <c r="O112" s="179" t="s">
        <v>497</v>
      </c>
      <c r="P112" s="375"/>
    </row>
    <row r="113" spans="1:34" ht="15.75" x14ac:dyDescent="0.25">
      <c r="A113" s="375"/>
      <c r="B113" s="211" t="s">
        <v>498</v>
      </c>
      <c r="C113" s="472" t="str">
        <f>IFERROR(VLOOKUP($C$110,'Rainfall Data'!$A$227:$M$290,2,FALSE),"")</f>
        <v/>
      </c>
      <c r="D113" s="472" t="str">
        <f>IFERROR(VLOOKUP($C$110,'Rainfall Data'!$A$227:$M$290,3,FALSE),"")</f>
        <v/>
      </c>
      <c r="E113" s="472" t="str">
        <f>IFERROR(VLOOKUP($C$110,'Rainfall Data'!$A$227:$M$290,4,FALSE),"")</f>
        <v/>
      </c>
      <c r="F113" s="472" t="str">
        <f>IFERROR(VLOOKUP($C$110,'Rainfall Data'!$A$227:$M$290,5,FALSE),"")</f>
        <v/>
      </c>
      <c r="G113" s="472" t="str">
        <f>IFERROR(VLOOKUP($C$110,'Rainfall Data'!$A$227:$M$290,6,FALSE),"")</f>
        <v/>
      </c>
      <c r="H113" s="472" t="str">
        <f>IFERROR(VLOOKUP($C$110,'Rainfall Data'!$A$227:$M$290,7,FALSE),"")</f>
        <v/>
      </c>
      <c r="I113" s="472" t="str">
        <f>IFERROR(VLOOKUP($C$110,'Rainfall Data'!$A$227:$M$290,8,FALSE),"")</f>
        <v/>
      </c>
      <c r="J113" s="472" t="str">
        <f>IFERROR(VLOOKUP($C$110,'Rainfall Data'!$A$227:$M$290,9,FALSE),"")</f>
        <v/>
      </c>
      <c r="K113" s="472" t="str">
        <f>IFERROR(VLOOKUP($C$110,'Rainfall Data'!$A$227:$M$290,10,FALSE),"")</f>
        <v/>
      </c>
      <c r="L113" s="472" t="str">
        <f>IFERROR(VLOOKUP($C$110,'Rainfall Data'!$A$227:$M$290,11,FALSE),"")</f>
        <v/>
      </c>
      <c r="M113" s="472" t="str">
        <f>IFERROR(VLOOKUP($C$110,'Rainfall Data'!$A$227:$M$290,12,FALSE),"")</f>
        <v/>
      </c>
      <c r="N113" s="472" t="str">
        <f>IFERROR(VLOOKUP($C$110,'Rainfall Data'!$A$227:$M$290,13,FALSE),"")</f>
        <v/>
      </c>
      <c r="O113" s="472" t="str">
        <f>IFERROR(AVERAGE(C113:N113),"")</f>
        <v/>
      </c>
      <c r="P113" s="375"/>
    </row>
    <row r="114" spans="1:34" ht="15.75" x14ac:dyDescent="0.25">
      <c r="A114" s="375"/>
      <c r="B114" s="211" t="s">
        <v>499</v>
      </c>
      <c r="C114" s="472" t="str">
        <f>IFERROR(VLOOKUP($C$110,'Rainfall Data'!$A$146:$N$209,2,FALSE),"")</f>
        <v/>
      </c>
      <c r="D114" s="472" t="str">
        <f>IFERROR(VLOOKUP($C$110,'Rainfall Data'!$A$146:$N$209,3,FALSE),"")</f>
        <v/>
      </c>
      <c r="E114" s="472" t="str">
        <f>IFERROR(VLOOKUP($C$110,'Rainfall Data'!$A$146:$N$209,4,FALSE),"")</f>
        <v/>
      </c>
      <c r="F114" s="472" t="str">
        <f>IFERROR(VLOOKUP($C$110,'Rainfall Data'!$A$146:$N$209,5,FALSE),"")</f>
        <v/>
      </c>
      <c r="G114" s="472" t="str">
        <f>IFERROR(VLOOKUP($C$110,'Rainfall Data'!$A$146:$N$209,6,FALSE),"")</f>
        <v/>
      </c>
      <c r="H114" s="472" t="str">
        <f>IFERROR(VLOOKUP($C$110,'Rainfall Data'!$A$146:$N$209,7,FALSE),"")</f>
        <v/>
      </c>
      <c r="I114" s="472" t="str">
        <f>IFERROR(VLOOKUP($C$110,'Rainfall Data'!$A$146:$N$209,8,FALSE),"")</f>
        <v/>
      </c>
      <c r="J114" s="472" t="str">
        <f>IFERROR(VLOOKUP($C$110,'Rainfall Data'!$A$146:$N$209,9,FALSE),"")</f>
        <v/>
      </c>
      <c r="K114" s="472" t="str">
        <f>IFERROR(VLOOKUP($C$110,'Rainfall Data'!$A$146:$N$209,10,FALSE),"")</f>
        <v/>
      </c>
      <c r="L114" s="472" t="str">
        <f>IFERROR(VLOOKUP($C$110,'Rainfall Data'!$A$146:$N$209,11,FALSE),"")</f>
        <v/>
      </c>
      <c r="M114" s="472" t="str">
        <f>IFERROR(VLOOKUP($C$110,'Rainfall Data'!$A$146:$N$209,12,FALSE),"")</f>
        <v/>
      </c>
      <c r="N114" s="472" t="str">
        <f>IFERROR(VLOOKUP($C$110,'Rainfall Data'!$A$146:$N$209,13,FALSE),"")</f>
        <v/>
      </c>
      <c r="O114" s="472" t="str">
        <f>IF(C114="","",SUM(C114:N114))</f>
        <v/>
      </c>
      <c r="P114" s="375"/>
    </row>
    <row r="115" spans="1:34" ht="28.5" x14ac:dyDescent="0.25">
      <c r="A115" s="375"/>
      <c r="B115" s="211" t="s">
        <v>500</v>
      </c>
      <c r="C115" s="261"/>
      <c r="D115" s="261"/>
      <c r="E115" s="261"/>
      <c r="F115" s="261"/>
      <c r="G115" s="261"/>
      <c r="H115" s="261"/>
      <c r="I115" s="261"/>
      <c r="J115" s="261"/>
      <c r="K115" s="261"/>
      <c r="L115" s="261"/>
      <c r="M115" s="261"/>
      <c r="N115" s="261"/>
      <c r="O115" s="261"/>
      <c r="P115" s="375"/>
    </row>
    <row r="116" spans="1:34" x14ac:dyDescent="0.25">
      <c r="A116" s="375"/>
      <c r="B116" s="375"/>
      <c r="C116" s="375"/>
      <c r="D116" s="375"/>
      <c r="E116" s="375"/>
      <c r="F116" s="375"/>
      <c r="G116" s="375"/>
      <c r="H116" s="375"/>
      <c r="I116" s="375"/>
      <c r="J116" s="375"/>
      <c r="K116" s="375"/>
      <c r="L116" s="375"/>
      <c r="M116" s="375"/>
      <c r="N116" s="375"/>
      <c r="O116" s="375"/>
      <c r="P116" s="375"/>
    </row>
    <row r="117" spans="1:34" ht="48" customHeight="1" x14ac:dyDescent="0.25">
      <c r="A117" s="375"/>
      <c r="B117" s="211" t="s">
        <v>501</v>
      </c>
      <c r="C117" s="211" t="s">
        <v>502</v>
      </c>
      <c r="D117" s="211" t="s">
        <v>503</v>
      </c>
      <c r="E117" s="211" t="s">
        <v>504</v>
      </c>
      <c r="F117" s="211" t="s">
        <v>505</v>
      </c>
      <c r="G117" s="237" t="s">
        <v>506</v>
      </c>
      <c r="H117" s="1713" t="s">
        <v>507</v>
      </c>
      <c r="I117" s="1713"/>
      <c r="J117" s="236" t="s">
        <v>508</v>
      </c>
      <c r="K117" s="375"/>
      <c r="L117" s="375"/>
      <c r="M117" s="375"/>
      <c r="N117" s="375"/>
      <c r="O117" s="375"/>
      <c r="P117" s="375"/>
      <c r="V117" s="176" t="s">
        <v>406</v>
      </c>
      <c r="W117" s="176" t="s">
        <v>407</v>
      </c>
      <c r="X117" s="176" t="s">
        <v>408</v>
      </c>
      <c r="Y117" s="176" t="s">
        <v>409</v>
      </c>
      <c r="Z117" s="176" t="s">
        <v>410</v>
      </c>
      <c r="AA117" s="176" t="s">
        <v>411</v>
      </c>
      <c r="AB117" s="176" t="s">
        <v>412</v>
      </c>
      <c r="AC117" s="176" t="s">
        <v>413</v>
      </c>
      <c r="AD117" s="176" t="s">
        <v>414</v>
      </c>
      <c r="AE117" s="176" t="s">
        <v>415</v>
      </c>
      <c r="AF117" s="176" t="s">
        <v>416</v>
      </c>
      <c r="AG117" s="176" t="s">
        <v>417</v>
      </c>
      <c r="AH117" s="176" t="s">
        <v>289</v>
      </c>
    </row>
    <row r="118" spans="1:34" x14ac:dyDescent="0.25">
      <c r="A118" s="375"/>
      <c r="B118" s="260"/>
      <c r="C118" s="261"/>
      <c r="D118" s="262"/>
      <c r="E118" s="262"/>
      <c r="F118" s="262"/>
      <c r="G118" s="263"/>
      <c r="H118" s="1739"/>
      <c r="I118" s="1739"/>
      <c r="J118" s="471">
        <f t="shared" ref="J118:J123" si="1">AH118*C118</f>
        <v>0</v>
      </c>
      <c r="K118" s="375"/>
      <c r="L118" s="375"/>
      <c r="M118" s="375"/>
      <c r="N118" s="375"/>
      <c r="O118" s="375"/>
      <c r="P118" s="375"/>
      <c r="V118" s="177" t="e">
        <f t="shared" ref="V118:W123" si="2">(C$113*$D118*$E118*$F118/$G118-IF(C$115="",C$114*(1-$H118),C$115))/1000</f>
        <v>#VALUE!</v>
      </c>
      <c r="W118" s="177" t="e">
        <f t="shared" si="2"/>
        <v>#VALUE!</v>
      </c>
      <c r="X118" s="177" t="e">
        <f t="shared" ref="X118:AG118" si="3">(E$113*$D118*$E118*$F118/$G118-IF(E$115="",E$114*(1-$H118),E$115))/1000</f>
        <v>#VALUE!</v>
      </c>
      <c r="Y118" s="177" t="e">
        <f t="shared" ref="Y118:Y123" si="4">(F$113*$D118*$E118*$F118/$G118-IF(F$115="",F$114*(1-$H118),F$115))/1000</f>
        <v>#VALUE!</v>
      </c>
      <c r="Z118" s="177" t="e">
        <f t="shared" si="3"/>
        <v>#VALUE!</v>
      </c>
      <c r="AA118" s="177" t="e">
        <f t="shared" si="3"/>
        <v>#VALUE!</v>
      </c>
      <c r="AB118" s="177" t="e">
        <f t="shared" si="3"/>
        <v>#VALUE!</v>
      </c>
      <c r="AC118" s="177" t="e">
        <f t="shared" si="3"/>
        <v>#VALUE!</v>
      </c>
      <c r="AD118" s="177" t="e">
        <f t="shared" si="3"/>
        <v>#VALUE!</v>
      </c>
      <c r="AE118" s="177" t="e">
        <f t="shared" si="3"/>
        <v>#VALUE!</v>
      </c>
      <c r="AF118" s="177" t="e">
        <f t="shared" si="3"/>
        <v>#VALUE!</v>
      </c>
      <c r="AG118" s="177" t="e">
        <f t="shared" si="3"/>
        <v>#VALUE!</v>
      </c>
      <c r="AH118" s="177">
        <f t="shared" ref="AH118:AH123" si="5">SUMIF(V118:AG118,"&gt;0")</f>
        <v>0</v>
      </c>
    </row>
    <row r="119" spans="1:34" x14ac:dyDescent="0.25">
      <c r="A119" s="375"/>
      <c r="B119" s="260"/>
      <c r="C119" s="261"/>
      <c r="D119" s="262"/>
      <c r="E119" s="262"/>
      <c r="F119" s="262"/>
      <c r="G119" s="263"/>
      <c r="H119" s="1739"/>
      <c r="I119" s="1739"/>
      <c r="J119" s="471">
        <f t="shared" si="1"/>
        <v>0</v>
      </c>
      <c r="K119" s="375"/>
      <c r="L119" s="375"/>
      <c r="M119" s="375"/>
      <c r="N119" s="375"/>
      <c r="O119" s="375"/>
      <c r="P119" s="375"/>
      <c r="V119" s="177" t="e">
        <f t="shared" si="2"/>
        <v>#VALUE!</v>
      </c>
      <c r="W119" s="177" t="e">
        <f t="shared" si="2"/>
        <v>#VALUE!</v>
      </c>
      <c r="X119" s="177" t="e">
        <f>(E$113*$D119*$E119*$F119/$G119-IF(E$115="",E$114*(1-$H119),E$115))/1000</f>
        <v>#VALUE!</v>
      </c>
      <c r="Y119" s="177" t="e">
        <f t="shared" si="4"/>
        <v>#VALUE!</v>
      </c>
      <c r="Z119" s="177" t="e">
        <f t="shared" ref="Z119:AG123" si="6">(G$113*$D119*$E119*$F119/$G119-IF(G$115="",G$114*(1-$H119),G$115))/1000</f>
        <v>#VALUE!</v>
      </c>
      <c r="AA119" s="177" t="e">
        <f t="shared" si="6"/>
        <v>#VALUE!</v>
      </c>
      <c r="AB119" s="177" t="e">
        <f t="shared" si="6"/>
        <v>#VALUE!</v>
      </c>
      <c r="AC119" s="177" t="e">
        <f t="shared" si="6"/>
        <v>#VALUE!</v>
      </c>
      <c r="AD119" s="177" t="e">
        <f t="shared" si="6"/>
        <v>#VALUE!</v>
      </c>
      <c r="AE119" s="177" t="e">
        <f t="shared" si="6"/>
        <v>#VALUE!</v>
      </c>
      <c r="AF119" s="177" t="e">
        <f t="shared" si="6"/>
        <v>#VALUE!</v>
      </c>
      <c r="AG119" s="177" t="e">
        <f t="shared" si="6"/>
        <v>#VALUE!</v>
      </c>
      <c r="AH119" s="177">
        <f t="shared" si="5"/>
        <v>0</v>
      </c>
    </row>
    <row r="120" spans="1:34" x14ac:dyDescent="0.25">
      <c r="A120" s="375"/>
      <c r="B120" s="260"/>
      <c r="C120" s="261"/>
      <c r="D120" s="262"/>
      <c r="E120" s="262"/>
      <c r="F120" s="262"/>
      <c r="G120" s="263"/>
      <c r="H120" s="1739"/>
      <c r="I120" s="1739"/>
      <c r="J120" s="471">
        <f t="shared" si="1"/>
        <v>0</v>
      </c>
      <c r="K120" s="375"/>
      <c r="L120" s="375"/>
      <c r="M120" s="375"/>
      <c r="N120" s="375"/>
      <c r="O120" s="375"/>
      <c r="P120" s="375"/>
      <c r="V120" s="177" t="e">
        <f t="shared" si="2"/>
        <v>#VALUE!</v>
      </c>
      <c r="W120" s="177" t="e">
        <f t="shared" si="2"/>
        <v>#VALUE!</v>
      </c>
      <c r="X120" s="177" t="e">
        <f>(E$113*$D120*$E120*$F120/$G120-IF(E$115="",E$114*(1-$H120),E$115))/1000</f>
        <v>#VALUE!</v>
      </c>
      <c r="Y120" s="177" t="e">
        <f t="shared" si="4"/>
        <v>#VALUE!</v>
      </c>
      <c r="Z120" s="177" t="e">
        <f t="shared" si="6"/>
        <v>#VALUE!</v>
      </c>
      <c r="AA120" s="177" t="e">
        <f t="shared" si="6"/>
        <v>#VALUE!</v>
      </c>
      <c r="AB120" s="177" t="e">
        <f t="shared" si="6"/>
        <v>#VALUE!</v>
      </c>
      <c r="AC120" s="177" t="e">
        <f t="shared" si="6"/>
        <v>#VALUE!</v>
      </c>
      <c r="AD120" s="177" t="e">
        <f t="shared" si="6"/>
        <v>#VALUE!</v>
      </c>
      <c r="AE120" s="177" t="e">
        <f t="shared" si="6"/>
        <v>#VALUE!</v>
      </c>
      <c r="AF120" s="177" t="e">
        <f t="shared" si="6"/>
        <v>#VALUE!</v>
      </c>
      <c r="AG120" s="177" t="e">
        <f t="shared" si="6"/>
        <v>#VALUE!</v>
      </c>
      <c r="AH120" s="177">
        <f t="shared" si="5"/>
        <v>0</v>
      </c>
    </row>
    <row r="121" spans="1:34" x14ac:dyDescent="0.25">
      <c r="A121" s="375"/>
      <c r="B121" s="260"/>
      <c r="C121" s="261"/>
      <c r="D121" s="262"/>
      <c r="E121" s="262"/>
      <c r="F121" s="262"/>
      <c r="G121" s="263"/>
      <c r="H121" s="1739"/>
      <c r="I121" s="1739"/>
      <c r="J121" s="471">
        <f t="shared" si="1"/>
        <v>0</v>
      </c>
      <c r="K121" s="375"/>
      <c r="L121" s="375"/>
      <c r="M121" s="375"/>
      <c r="N121" s="375"/>
      <c r="O121" s="375"/>
      <c r="P121" s="375"/>
      <c r="V121" s="177" t="e">
        <f t="shared" si="2"/>
        <v>#VALUE!</v>
      </c>
      <c r="W121" s="177" t="e">
        <f t="shared" si="2"/>
        <v>#VALUE!</v>
      </c>
      <c r="X121" s="177" t="e">
        <f>(E$113*$D121*$E121*$F121/$G121-IF(E$115="",E$114*(1-$H121),E$115))/1000</f>
        <v>#VALUE!</v>
      </c>
      <c r="Y121" s="177" t="e">
        <f t="shared" si="4"/>
        <v>#VALUE!</v>
      </c>
      <c r="Z121" s="177" t="e">
        <f t="shared" si="6"/>
        <v>#VALUE!</v>
      </c>
      <c r="AA121" s="177" t="e">
        <f t="shared" si="6"/>
        <v>#VALUE!</v>
      </c>
      <c r="AB121" s="177" t="e">
        <f t="shared" si="6"/>
        <v>#VALUE!</v>
      </c>
      <c r="AC121" s="177" t="e">
        <f t="shared" si="6"/>
        <v>#VALUE!</v>
      </c>
      <c r="AD121" s="177" t="e">
        <f t="shared" si="6"/>
        <v>#VALUE!</v>
      </c>
      <c r="AE121" s="177" t="e">
        <f t="shared" si="6"/>
        <v>#VALUE!</v>
      </c>
      <c r="AF121" s="177" t="e">
        <f t="shared" si="6"/>
        <v>#VALUE!</v>
      </c>
      <c r="AG121" s="177" t="e">
        <f t="shared" si="6"/>
        <v>#VALUE!</v>
      </c>
      <c r="AH121" s="177">
        <f t="shared" si="5"/>
        <v>0</v>
      </c>
    </row>
    <row r="122" spans="1:34" x14ac:dyDescent="0.25">
      <c r="A122" s="375"/>
      <c r="B122" s="260"/>
      <c r="C122" s="261"/>
      <c r="D122" s="262"/>
      <c r="E122" s="262"/>
      <c r="F122" s="262"/>
      <c r="G122" s="263"/>
      <c r="H122" s="1739"/>
      <c r="I122" s="1739"/>
      <c r="J122" s="471">
        <f t="shared" si="1"/>
        <v>0</v>
      </c>
      <c r="K122" s="375"/>
      <c r="L122" s="375"/>
      <c r="M122" s="375"/>
      <c r="N122" s="375"/>
      <c r="O122" s="375"/>
      <c r="P122" s="375"/>
      <c r="V122" s="177" t="e">
        <f t="shared" si="2"/>
        <v>#VALUE!</v>
      </c>
      <c r="W122" s="177" t="e">
        <f t="shared" si="2"/>
        <v>#VALUE!</v>
      </c>
      <c r="X122" s="177" t="e">
        <f>(E$113*$D122*$E122*$F122/$G122-IF(E$115="",E$114*(1-$H122),E$115))/1000</f>
        <v>#VALUE!</v>
      </c>
      <c r="Y122" s="177" t="e">
        <f t="shared" si="4"/>
        <v>#VALUE!</v>
      </c>
      <c r="Z122" s="177" t="e">
        <f t="shared" si="6"/>
        <v>#VALUE!</v>
      </c>
      <c r="AA122" s="177" t="e">
        <f t="shared" si="6"/>
        <v>#VALUE!</v>
      </c>
      <c r="AB122" s="177" t="e">
        <f t="shared" si="6"/>
        <v>#VALUE!</v>
      </c>
      <c r="AC122" s="177" t="e">
        <f t="shared" si="6"/>
        <v>#VALUE!</v>
      </c>
      <c r="AD122" s="177" t="e">
        <f t="shared" si="6"/>
        <v>#VALUE!</v>
      </c>
      <c r="AE122" s="177" t="e">
        <f t="shared" si="6"/>
        <v>#VALUE!</v>
      </c>
      <c r="AF122" s="177" t="e">
        <f t="shared" si="6"/>
        <v>#VALUE!</v>
      </c>
      <c r="AG122" s="177" t="e">
        <f t="shared" si="6"/>
        <v>#VALUE!</v>
      </c>
      <c r="AH122" s="177">
        <f t="shared" si="5"/>
        <v>0</v>
      </c>
    </row>
    <row r="123" spans="1:34" x14ac:dyDescent="0.25">
      <c r="A123" s="375"/>
      <c r="B123" s="261"/>
      <c r="C123" s="261"/>
      <c r="D123" s="262"/>
      <c r="E123" s="262"/>
      <c r="F123" s="262"/>
      <c r="G123" s="263"/>
      <c r="H123" s="1739"/>
      <c r="I123" s="1739"/>
      <c r="J123" s="471">
        <f t="shared" si="1"/>
        <v>0</v>
      </c>
      <c r="K123" s="375"/>
      <c r="L123" s="375"/>
      <c r="M123" s="375"/>
      <c r="N123" s="375"/>
      <c r="O123" s="375"/>
      <c r="P123" s="375"/>
      <c r="V123" s="177" t="e">
        <f t="shared" si="2"/>
        <v>#VALUE!</v>
      </c>
      <c r="W123" s="177" t="e">
        <f t="shared" si="2"/>
        <v>#VALUE!</v>
      </c>
      <c r="X123" s="177" t="e">
        <f>(E$113*$D123*$E123*$F123/$G123-IF(E$115="",E$114*(1-$H123),E$115))/1000</f>
        <v>#VALUE!</v>
      </c>
      <c r="Y123" s="177" t="e">
        <f t="shared" si="4"/>
        <v>#VALUE!</v>
      </c>
      <c r="Z123" s="177" t="e">
        <f t="shared" si="6"/>
        <v>#VALUE!</v>
      </c>
      <c r="AA123" s="177" t="e">
        <f t="shared" si="6"/>
        <v>#VALUE!</v>
      </c>
      <c r="AB123" s="177" t="e">
        <f t="shared" si="6"/>
        <v>#VALUE!</v>
      </c>
      <c r="AC123" s="177" t="e">
        <f t="shared" si="6"/>
        <v>#VALUE!</v>
      </c>
      <c r="AD123" s="177" t="e">
        <f t="shared" si="6"/>
        <v>#VALUE!</v>
      </c>
      <c r="AE123" s="177" t="e">
        <f t="shared" si="6"/>
        <v>#VALUE!</v>
      </c>
      <c r="AF123" s="177" t="e">
        <f t="shared" si="6"/>
        <v>#VALUE!</v>
      </c>
      <c r="AG123" s="177" t="e">
        <f t="shared" si="6"/>
        <v>#VALUE!</v>
      </c>
      <c r="AH123" s="177">
        <f t="shared" si="5"/>
        <v>0</v>
      </c>
    </row>
    <row r="124" spans="1:34" ht="16.5" customHeight="1" x14ac:dyDescent="0.25">
      <c r="A124" s="375"/>
      <c r="B124" s="178" t="s">
        <v>82</v>
      </c>
      <c r="C124" s="178">
        <f>SUM(C118:C123)</f>
        <v>0</v>
      </c>
      <c r="D124" s="375"/>
      <c r="E124" s="375"/>
      <c r="F124" s="375"/>
      <c r="G124" s="375"/>
      <c r="H124" s="375"/>
      <c r="I124" s="375"/>
      <c r="J124" s="470">
        <f>SUM(J118:J123)</f>
        <v>0</v>
      </c>
      <c r="K124" s="375"/>
      <c r="L124" s="375"/>
      <c r="M124" s="375"/>
      <c r="N124" s="375"/>
      <c r="O124" s="375"/>
      <c r="P124" s="375"/>
    </row>
    <row r="125" spans="1:34" x14ac:dyDescent="0.25">
      <c r="A125" s="375"/>
      <c r="B125" s="375"/>
      <c r="C125" s="375"/>
      <c r="D125" s="375"/>
      <c r="E125" s="375"/>
      <c r="F125" s="375"/>
      <c r="G125" s="375"/>
      <c r="H125" s="375"/>
      <c r="I125" s="375"/>
      <c r="J125" s="375"/>
      <c r="K125" s="375"/>
      <c r="L125" s="375"/>
      <c r="M125" s="375"/>
      <c r="N125" s="375"/>
      <c r="O125" s="375"/>
      <c r="P125" s="375"/>
    </row>
    <row r="126" spans="1:34" ht="18" customHeight="1" x14ac:dyDescent="0.25">
      <c r="A126" s="375"/>
      <c r="B126" s="1524" t="s">
        <v>1635</v>
      </c>
      <c r="C126" s="1524"/>
      <c r="D126" s="1524"/>
      <c r="E126" s="1730" t="s">
        <v>129</v>
      </c>
      <c r="F126" s="1729"/>
      <c r="G126" s="375"/>
      <c r="H126" s="375"/>
      <c r="I126" s="375"/>
      <c r="J126" s="375"/>
      <c r="K126" s="375"/>
      <c r="L126" s="375"/>
      <c r="M126" s="375"/>
      <c r="N126" s="375"/>
      <c r="O126" s="375"/>
      <c r="P126" s="375"/>
    </row>
    <row r="127" spans="1:34" ht="28.5" customHeight="1" x14ac:dyDescent="0.25">
      <c r="A127" s="375"/>
      <c r="B127" s="1524" t="s">
        <v>1636</v>
      </c>
      <c r="C127" s="1524"/>
      <c r="D127" s="1524"/>
      <c r="E127" s="1735"/>
      <c r="F127" s="1736"/>
      <c r="G127" s="375"/>
      <c r="H127" s="375"/>
      <c r="I127" s="375"/>
      <c r="J127" s="375"/>
      <c r="K127" s="375"/>
      <c r="L127" s="375"/>
      <c r="M127" s="375"/>
      <c r="N127" s="375"/>
      <c r="O127" s="375"/>
      <c r="P127" s="375"/>
    </row>
    <row r="128" spans="1:34" ht="27" customHeight="1" x14ac:dyDescent="0.25">
      <c r="A128" s="375"/>
      <c r="B128" s="1524" t="s">
        <v>1634</v>
      </c>
      <c r="C128" s="1524"/>
      <c r="D128" s="1524"/>
      <c r="E128" s="1740"/>
      <c r="F128" s="1741"/>
      <c r="G128" s="1741"/>
      <c r="H128" s="1741"/>
      <c r="I128" s="1741"/>
      <c r="J128" s="1741"/>
      <c r="K128" s="1741"/>
      <c r="L128" s="1741"/>
      <c r="M128" s="1742"/>
      <c r="N128" s="375"/>
      <c r="O128" s="375"/>
      <c r="P128" s="375"/>
    </row>
    <row r="129" spans="1:16" x14ac:dyDescent="0.25">
      <c r="A129" s="375"/>
      <c r="B129" s="375"/>
      <c r="C129" s="375"/>
      <c r="D129" s="375"/>
      <c r="E129" s="375"/>
      <c r="F129" s="375"/>
      <c r="G129" s="375"/>
      <c r="H129" s="375"/>
      <c r="I129" s="375"/>
      <c r="J129" s="375"/>
      <c r="K129" s="375"/>
      <c r="L129" s="375"/>
      <c r="M129" s="375"/>
      <c r="N129" s="375"/>
      <c r="O129" s="375"/>
      <c r="P129" s="375"/>
    </row>
    <row r="130" spans="1:16" ht="21" customHeight="1" x14ac:dyDescent="0.25">
      <c r="A130" s="375"/>
      <c r="B130" s="1743" t="s">
        <v>509</v>
      </c>
      <c r="C130" s="1743"/>
      <c r="D130" s="1743"/>
      <c r="E130" s="1743"/>
      <c r="F130" s="181" t="str">
        <f>IF(C124=0,"",(J124-E127)/C124)</f>
        <v/>
      </c>
      <c r="G130" s="375"/>
      <c r="H130" s="375"/>
      <c r="I130" s="375"/>
      <c r="J130" s="375"/>
      <c r="K130" s="375"/>
      <c r="L130" s="375"/>
      <c r="M130" s="375"/>
      <c r="N130" s="375"/>
      <c r="O130" s="375"/>
      <c r="P130" s="375"/>
    </row>
    <row r="131" spans="1:16" x14ac:dyDescent="0.25">
      <c r="A131" s="375"/>
      <c r="B131" s="375"/>
      <c r="C131" s="375"/>
      <c r="D131" s="375"/>
      <c r="E131" s="375"/>
      <c r="F131" s="375"/>
      <c r="G131" s="375"/>
      <c r="H131" s="375"/>
      <c r="I131" s="375"/>
      <c r="J131" s="375"/>
      <c r="K131" s="375"/>
      <c r="L131" s="375"/>
      <c r="M131" s="375"/>
      <c r="N131" s="375"/>
      <c r="O131" s="375"/>
      <c r="P131" s="375"/>
    </row>
    <row r="132" spans="1:16" x14ac:dyDescent="0.25">
      <c r="A132" s="375"/>
      <c r="B132" s="379" t="s">
        <v>1637</v>
      </c>
      <c r="C132" s="375"/>
      <c r="D132" s="375"/>
      <c r="E132" s="375"/>
      <c r="F132" s="375"/>
      <c r="G132" s="375"/>
      <c r="H132" s="375"/>
      <c r="I132" s="375"/>
      <c r="J132" s="375"/>
      <c r="K132" s="375"/>
      <c r="L132" s="375"/>
      <c r="M132" s="375"/>
      <c r="N132" s="375"/>
      <c r="O132" s="375"/>
      <c r="P132" s="375"/>
    </row>
    <row r="133" spans="1:16" ht="12" customHeight="1" x14ac:dyDescent="0.25">
      <c r="A133" s="375"/>
      <c r="B133" s="375"/>
      <c r="C133" s="375"/>
      <c r="D133" s="375"/>
      <c r="E133" s="375"/>
      <c r="F133" s="375"/>
      <c r="G133" s="375"/>
      <c r="H133" s="375"/>
      <c r="I133" s="375"/>
      <c r="J133" s="375"/>
      <c r="K133" s="375"/>
      <c r="L133" s="375"/>
      <c r="M133" s="375"/>
      <c r="N133" s="375"/>
      <c r="O133" s="375"/>
      <c r="P133" s="375"/>
    </row>
    <row r="134" spans="1:16" ht="21" customHeight="1" x14ac:dyDescent="0.25">
      <c r="A134" s="375"/>
      <c r="B134" s="1743" t="s">
        <v>510</v>
      </c>
      <c r="C134" s="1743"/>
      <c r="D134" s="1743"/>
      <c r="E134" s="1743"/>
      <c r="F134" s="182" t="str">
        <f>IFERROR(1-(F130/1.1),"")</f>
        <v/>
      </c>
      <c r="G134" s="375"/>
      <c r="H134" s="375"/>
      <c r="I134" s="375"/>
      <c r="J134" s="375"/>
      <c r="K134" s="375"/>
      <c r="L134" s="375"/>
      <c r="M134" s="375"/>
      <c r="N134" s="375"/>
      <c r="O134" s="375"/>
      <c r="P134" s="375"/>
    </row>
    <row r="135" spans="1:16" ht="18" customHeight="1" x14ac:dyDescent="0.25">
      <c r="A135" s="375"/>
      <c r="B135" s="375"/>
      <c r="C135" s="375"/>
      <c r="D135" s="375"/>
      <c r="E135" s="375"/>
      <c r="F135" s="375"/>
      <c r="G135" s="375"/>
      <c r="H135" s="375"/>
      <c r="I135" s="375"/>
      <c r="J135" s="375"/>
      <c r="K135" s="375"/>
      <c r="L135" s="375"/>
      <c r="M135" s="375"/>
      <c r="N135" s="375"/>
      <c r="O135" s="375"/>
      <c r="P135" s="375"/>
    </row>
    <row r="136" spans="1:16" ht="16.5" customHeight="1" x14ac:dyDescent="0.25">
      <c r="A136" s="297" t="s">
        <v>200</v>
      </c>
      <c r="B136" s="69"/>
      <c r="C136" s="69"/>
      <c r="D136" s="375"/>
      <c r="E136" s="375"/>
      <c r="F136" s="375"/>
      <c r="G136" s="375"/>
      <c r="H136" s="375"/>
      <c r="I136" s="375"/>
      <c r="J136" s="375"/>
      <c r="K136" s="375"/>
      <c r="L136" s="375"/>
      <c r="M136" s="375"/>
      <c r="N136" s="375"/>
      <c r="O136" s="375"/>
      <c r="P136" s="375"/>
    </row>
    <row r="137" spans="1:16" x14ac:dyDescent="0.25">
      <c r="A137" s="375"/>
      <c r="B137" s="375"/>
      <c r="C137" s="375"/>
      <c r="D137" s="375"/>
      <c r="E137" s="375"/>
      <c r="F137" s="375"/>
      <c r="G137" s="375"/>
      <c r="H137" s="375"/>
      <c r="I137" s="375"/>
      <c r="J137" s="375"/>
      <c r="K137" s="375"/>
      <c r="L137" s="375"/>
      <c r="M137" s="375"/>
      <c r="N137" s="375"/>
      <c r="O137" s="375"/>
      <c r="P137" s="375"/>
    </row>
    <row r="138" spans="1:16" ht="18" customHeight="1" x14ac:dyDescent="0.25">
      <c r="A138" s="375"/>
      <c r="B138" s="1744" t="s">
        <v>2103</v>
      </c>
      <c r="C138" s="1745"/>
      <c r="D138" s="1745"/>
      <c r="E138" s="1745"/>
      <c r="F138" s="1745"/>
      <c r="G138" s="1745"/>
      <c r="H138" s="1745"/>
      <c r="I138" s="1745"/>
      <c r="J138" s="1728" t="s">
        <v>2101</v>
      </c>
      <c r="K138" s="1728"/>
      <c r="L138" s="1728" t="s">
        <v>2102</v>
      </c>
      <c r="M138" s="1728"/>
      <c r="N138" s="375"/>
      <c r="O138" s="375"/>
      <c r="P138" s="375"/>
    </row>
    <row r="139" spans="1:16" ht="24" customHeight="1" x14ac:dyDescent="0.25">
      <c r="A139" s="375"/>
      <c r="B139" s="1436" t="s">
        <v>1251</v>
      </c>
      <c r="C139" s="1437"/>
      <c r="D139" s="1437"/>
      <c r="E139" s="1437"/>
      <c r="F139" s="1437"/>
      <c r="G139" s="1437"/>
      <c r="H139" s="1437"/>
      <c r="I139" s="1438"/>
      <c r="J139" s="1737" t="s">
        <v>129</v>
      </c>
      <c r="K139" s="1738"/>
      <c r="L139" s="1441"/>
      <c r="M139" s="1442"/>
      <c r="N139" s="375"/>
      <c r="O139" s="375"/>
      <c r="P139" s="375"/>
    </row>
    <row r="140" spans="1:16" ht="30" customHeight="1" x14ac:dyDescent="0.25">
      <c r="A140" s="375"/>
      <c r="B140" s="1436" t="s">
        <v>1252</v>
      </c>
      <c r="C140" s="1437"/>
      <c r="D140" s="1437"/>
      <c r="E140" s="1437"/>
      <c r="F140" s="1437"/>
      <c r="G140" s="1437"/>
      <c r="H140" s="1437"/>
      <c r="I140" s="1438"/>
      <c r="J140" s="1737" t="s">
        <v>129</v>
      </c>
      <c r="K140" s="1738"/>
      <c r="L140" s="1441"/>
      <c r="M140" s="1442"/>
      <c r="N140" s="375"/>
      <c r="O140" s="375"/>
      <c r="P140" s="375"/>
    </row>
    <row r="141" spans="1:16" ht="24" customHeight="1" x14ac:dyDescent="0.25">
      <c r="A141" s="375"/>
      <c r="B141" s="1436" t="s">
        <v>1253</v>
      </c>
      <c r="C141" s="1437"/>
      <c r="D141" s="1437"/>
      <c r="E141" s="1437"/>
      <c r="F141" s="1437"/>
      <c r="G141" s="1437"/>
      <c r="H141" s="1437"/>
      <c r="I141" s="1438"/>
      <c r="J141" s="1737" t="s">
        <v>129</v>
      </c>
      <c r="K141" s="1738"/>
      <c r="L141" s="1441"/>
      <c r="M141" s="1442"/>
      <c r="N141" s="375"/>
      <c r="O141" s="375"/>
      <c r="P141" s="375"/>
    </row>
    <row r="142" spans="1:16" ht="18.75" customHeight="1" x14ac:dyDescent="0.25">
      <c r="A142" s="375"/>
      <c r="B142" s="375"/>
      <c r="C142" s="375"/>
      <c r="D142" s="375"/>
      <c r="E142" s="375"/>
      <c r="F142" s="375"/>
      <c r="G142" s="375"/>
      <c r="H142" s="375"/>
      <c r="I142" s="375"/>
      <c r="J142" s="375"/>
      <c r="K142" s="375"/>
      <c r="L142" s="375"/>
      <c r="M142" s="375"/>
      <c r="N142" s="375"/>
      <c r="O142" s="375"/>
      <c r="P142" s="375"/>
    </row>
    <row r="143" spans="1:16" ht="16.5" customHeight="1" x14ac:dyDescent="0.25">
      <c r="A143" s="297" t="s">
        <v>25</v>
      </c>
      <c r="B143" s="69"/>
      <c r="C143" s="69"/>
      <c r="D143" s="375"/>
      <c r="E143" s="375"/>
      <c r="F143" s="375"/>
      <c r="G143" s="375"/>
      <c r="H143" s="375"/>
      <c r="I143" s="375"/>
      <c r="J143" s="375"/>
      <c r="K143" s="375"/>
      <c r="L143" s="375"/>
      <c r="M143" s="375"/>
      <c r="N143" s="375"/>
      <c r="O143" s="375"/>
      <c r="P143" s="375"/>
    </row>
    <row r="144" spans="1:16" x14ac:dyDescent="0.25">
      <c r="A144" s="375"/>
      <c r="B144" s="375"/>
      <c r="C144" s="375"/>
      <c r="D144" s="375"/>
      <c r="E144" s="375"/>
      <c r="F144" s="375"/>
      <c r="G144" s="375"/>
      <c r="H144" s="375"/>
      <c r="I144" s="375"/>
      <c r="J144" s="375"/>
      <c r="K144" s="375"/>
      <c r="L144" s="375"/>
      <c r="M144" s="375"/>
      <c r="N144" s="375"/>
      <c r="O144" s="375"/>
      <c r="P144" s="375"/>
    </row>
    <row r="145" spans="1:16" ht="18" customHeight="1" x14ac:dyDescent="0.25">
      <c r="A145" s="375"/>
      <c r="B145" s="325" t="s">
        <v>56</v>
      </c>
      <c r="C145" s="1733">
        <f>IF(F134="",0,IF(F134&gt;=0.8,2,IF(F134&gt;=0.5,1,0)))</f>
        <v>0</v>
      </c>
      <c r="D145" s="1734"/>
      <c r="E145" s="375"/>
      <c r="F145" s="375"/>
      <c r="G145" s="375"/>
      <c r="H145" s="375"/>
      <c r="I145" s="375"/>
      <c r="J145" s="375"/>
      <c r="K145" s="375"/>
      <c r="L145" s="375"/>
      <c r="M145" s="375"/>
      <c r="N145" s="375"/>
      <c r="O145" s="375"/>
      <c r="P145" s="375"/>
    </row>
    <row r="146" spans="1:16" ht="18" customHeight="1" x14ac:dyDescent="0.25">
      <c r="A146" s="375"/>
      <c r="B146" s="208" t="s">
        <v>521</v>
      </c>
      <c r="C146" s="1733" t="str">
        <f>IF(AND(COUNTIF(J139:K141,"Submitted")=3,C145&gt;0),"Yes","No")</f>
        <v>No</v>
      </c>
      <c r="D146" s="1734"/>
      <c r="E146" s="375"/>
      <c r="F146" s="375"/>
      <c r="G146" s="375"/>
      <c r="H146" s="375"/>
      <c r="I146" s="375"/>
      <c r="J146" s="375"/>
      <c r="K146" s="375"/>
      <c r="L146" s="375"/>
      <c r="M146" s="375"/>
      <c r="N146" s="375"/>
      <c r="O146" s="375"/>
      <c r="P146" s="375"/>
    </row>
    <row r="147" spans="1:16" ht="19.5" customHeight="1" x14ac:dyDescent="0.25">
      <c r="A147" s="375"/>
      <c r="B147" s="375"/>
      <c r="C147" s="375"/>
      <c r="D147" s="375"/>
      <c r="E147" s="375"/>
      <c r="F147" s="375"/>
      <c r="G147" s="375"/>
      <c r="H147" s="375"/>
      <c r="I147" s="375"/>
      <c r="J147" s="375"/>
      <c r="K147" s="375"/>
      <c r="L147" s="375"/>
      <c r="M147" s="375"/>
      <c r="N147" s="375"/>
      <c r="O147" s="375"/>
      <c r="P147" s="375"/>
    </row>
    <row r="148" spans="1:16" ht="15" hidden="1" customHeight="1" x14ac:dyDescent="0.25"/>
    <row r="149" spans="1:16" ht="15" hidden="1" customHeight="1" x14ac:dyDescent="0.25"/>
    <row r="150" spans="1:16" ht="15" hidden="1" customHeight="1" x14ac:dyDescent="0.25"/>
    <row r="151" spans="1:16" ht="15" hidden="1" customHeight="1" x14ac:dyDescent="0.25"/>
    <row r="152" spans="1:16" ht="15" hidden="1" customHeight="1" x14ac:dyDescent="0.25"/>
    <row r="153" spans="1:16" ht="15" hidden="1" customHeight="1" x14ac:dyDescent="0.25"/>
    <row r="154" spans="1:16" ht="15" hidden="1" customHeight="1" x14ac:dyDescent="0.25"/>
    <row r="155" spans="1:16" ht="15" hidden="1" customHeight="1" x14ac:dyDescent="0.25"/>
    <row r="156" spans="1:16" ht="15" hidden="1" customHeight="1" x14ac:dyDescent="0.25"/>
    <row r="157" spans="1:16" ht="15" hidden="1" customHeight="1" x14ac:dyDescent="0.25"/>
    <row r="158" spans="1:16" ht="15" hidden="1" customHeight="1" x14ac:dyDescent="0.25"/>
    <row r="159" spans="1:16" ht="15" hidden="1" customHeight="1" x14ac:dyDescent="0.25"/>
    <row r="160" spans="1:16"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sheetData>
  <sheetProtection algorithmName="SHA-512" hashValue="i4ZjhL8X5GoCSG66tRIUk8CYuTLXs/kUAJ7mh45OAWU/919k+be12FhwlHWEK1Z2gIB627OEvePGFn4f3N/6Dg==" saltValue="PpWAL/ybUOGiiZtFFq/rgQ==" spinCount="100000" sheet="1" objects="1" scenarios="1"/>
  <mergeCells count="109">
    <mergeCell ref="J19:K19"/>
    <mergeCell ref="B42:D42"/>
    <mergeCell ref="B16:G16"/>
    <mergeCell ref="H16:I16"/>
    <mergeCell ref="J16:K16"/>
    <mergeCell ref="L16:M16"/>
    <mergeCell ref="L138:M138"/>
    <mergeCell ref="B84:H84"/>
    <mergeCell ref="I84:J84"/>
    <mergeCell ref="K84:L84"/>
    <mergeCell ref="K60:L60"/>
    <mergeCell ref="B71:J71"/>
    <mergeCell ref="B77:D77"/>
    <mergeCell ref="E77:F77"/>
    <mergeCell ref="A67:P67"/>
    <mergeCell ref="B85:H85"/>
    <mergeCell ref="B60:H60"/>
    <mergeCell ref="B18:G18"/>
    <mergeCell ref="H18:I18"/>
    <mergeCell ref="B49:D49"/>
    <mergeCell ref="E49:F49"/>
    <mergeCell ref="E50:F50"/>
    <mergeCell ref="E51:F51"/>
    <mergeCell ref="A21:P21"/>
    <mergeCell ref="A23:P23"/>
    <mergeCell ref="L14:M14"/>
    <mergeCell ref="J18:K18"/>
    <mergeCell ref="L18:M18"/>
    <mergeCell ref="B19:G19"/>
    <mergeCell ref="B47:D47"/>
    <mergeCell ref="N2:O4"/>
    <mergeCell ref="E11:F11"/>
    <mergeCell ref="J13:K13"/>
    <mergeCell ref="J15:K15"/>
    <mergeCell ref="L13:M13"/>
    <mergeCell ref="L15:M15"/>
    <mergeCell ref="H13:I13"/>
    <mergeCell ref="H15:I15"/>
    <mergeCell ref="B15:G15"/>
    <mergeCell ref="B11:D11"/>
    <mergeCell ref="B13:G13"/>
    <mergeCell ref="A5:P7"/>
    <mergeCell ref="B14:G14"/>
    <mergeCell ref="H14:I14"/>
    <mergeCell ref="J14:K14"/>
    <mergeCell ref="A9:P9"/>
    <mergeCell ref="L19:M19"/>
    <mergeCell ref="H19:I19"/>
    <mergeCell ref="B139:I139"/>
    <mergeCell ref="B138:I138"/>
    <mergeCell ref="L139:M139"/>
    <mergeCell ref="L140:M140"/>
    <mergeCell ref="E53:F53"/>
    <mergeCell ref="B53:D53"/>
    <mergeCell ref="J140:K140"/>
    <mergeCell ref="H120:I120"/>
    <mergeCell ref="H121:I121"/>
    <mergeCell ref="H122:I122"/>
    <mergeCell ref="B59:H59"/>
    <mergeCell ref="E78:M78"/>
    <mergeCell ref="B134:E134"/>
    <mergeCell ref="I60:J60"/>
    <mergeCell ref="B55:D55"/>
    <mergeCell ref="B80:D80"/>
    <mergeCell ref="E55:F55"/>
    <mergeCell ref="C64:D64"/>
    <mergeCell ref="C65:D65"/>
    <mergeCell ref="I85:J85"/>
    <mergeCell ref="H119:I119"/>
    <mergeCell ref="K85:L85"/>
    <mergeCell ref="B78:D78"/>
    <mergeCell ref="C146:D146"/>
    <mergeCell ref="C89:D89"/>
    <mergeCell ref="C90:D90"/>
    <mergeCell ref="B140:I140"/>
    <mergeCell ref="B141:I141"/>
    <mergeCell ref="E127:F127"/>
    <mergeCell ref="A108:C108"/>
    <mergeCell ref="A94:C94"/>
    <mergeCell ref="B127:D127"/>
    <mergeCell ref="A92:P92"/>
    <mergeCell ref="J139:K139"/>
    <mergeCell ref="H123:I123"/>
    <mergeCell ref="B126:D126"/>
    <mergeCell ref="E126:F126"/>
    <mergeCell ref="B128:D128"/>
    <mergeCell ref="E128:M128"/>
    <mergeCell ref="C145:D145"/>
    <mergeCell ref="C110:D110"/>
    <mergeCell ref="H117:I117"/>
    <mergeCell ref="H118:I118"/>
    <mergeCell ref="J141:K141"/>
    <mergeCell ref="L141:M141"/>
    <mergeCell ref="J138:K138"/>
    <mergeCell ref="B130:E130"/>
    <mergeCell ref="B52:D52"/>
    <mergeCell ref="I59:J59"/>
    <mergeCell ref="E42:F42"/>
    <mergeCell ref="B48:D48"/>
    <mergeCell ref="B43:D43"/>
    <mergeCell ref="E43:F43"/>
    <mergeCell ref="B44:D44"/>
    <mergeCell ref="E44:M44"/>
    <mergeCell ref="E47:F47"/>
    <mergeCell ref="E48:F48"/>
    <mergeCell ref="B50:D50"/>
    <mergeCell ref="B51:D51"/>
    <mergeCell ref="K59:L59"/>
    <mergeCell ref="E52:F52"/>
  </mergeCells>
  <conditionalFormatting sqref="B15">
    <cfRule type="expression" dxfId="266" priority="95">
      <formula>$D$15="Performance Path"</formula>
    </cfRule>
  </conditionalFormatting>
  <conditionalFormatting sqref="H15 L15">
    <cfRule type="expression" dxfId="265" priority="83">
      <formula>OR(#REF!="No",#REF!="Không")</formula>
    </cfRule>
  </conditionalFormatting>
  <conditionalFormatting sqref="B89">
    <cfRule type="expression" dxfId="264" priority="65">
      <formula>#REF!&lt;&gt;"Prescriptive Path"</formula>
    </cfRule>
  </conditionalFormatting>
  <conditionalFormatting sqref="B145:C145">
    <cfRule type="expression" dxfId="263" priority="64">
      <formula>#REF!&lt;&gt;"Prescriptive Path"</formula>
    </cfRule>
  </conditionalFormatting>
  <conditionalFormatting sqref="B47">
    <cfRule type="expression" dxfId="262" priority="63">
      <formula>#REF!&lt;&gt;"Prescriptive Path"</formula>
    </cfRule>
  </conditionalFormatting>
  <conditionalFormatting sqref="E47">
    <cfRule type="expression" dxfId="261" priority="62">
      <formula>#REF!&lt;&gt;"Prescriptive Path"</formula>
    </cfRule>
  </conditionalFormatting>
  <conditionalFormatting sqref="E48:E53">
    <cfRule type="expression" dxfId="260" priority="53">
      <formula>#REF!&lt;&gt;"Prescriptive Path"</formula>
    </cfRule>
  </conditionalFormatting>
  <conditionalFormatting sqref="B48">
    <cfRule type="expression" dxfId="259" priority="54">
      <formula>#REF!&lt;&gt;"Prescriptive Path"</formula>
    </cfRule>
  </conditionalFormatting>
  <conditionalFormatting sqref="H15">
    <cfRule type="expression" dxfId="258" priority="501">
      <formula>OR($D15="No",$D15="Không")</formula>
    </cfRule>
    <cfRule type="expression" dxfId="257" priority="502">
      <formula>OR(#REF!="No",#REF!="Không")</formula>
    </cfRule>
  </conditionalFormatting>
  <conditionalFormatting sqref="L15">
    <cfRule type="expression" dxfId="256" priority="505">
      <formula>OR($D15="No",$D15="Không")</formula>
    </cfRule>
    <cfRule type="expression" dxfId="255" priority="506">
      <formula>OR(#REF!="No",#REF!="Không")</formula>
    </cfRule>
  </conditionalFormatting>
  <conditionalFormatting sqref="B19">
    <cfRule type="expression" dxfId="254" priority="42">
      <formula>$D$15="Performance Path"</formula>
    </cfRule>
  </conditionalFormatting>
  <conditionalFormatting sqref="H19 J19 L19">
    <cfRule type="expression" dxfId="253" priority="41">
      <formula>OR(#REF!="No",#REF!="Không")</formula>
    </cfRule>
  </conditionalFormatting>
  <conditionalFormatting sqref="H19">
    <cfRule type="expression" dxfId="252" priority="43">
      <formula>OR($D19="No",$D19="Không")</formula>
    </cfRule>
    <cfRule type="expression" dxfId="251" priority="44">
      <formula>OR(#REF!="No",#REF!="Không")</formula>
    </cfRule>
  </conditionalFormatting>
  <conditionalFormatting sqref="J19">
    <cfRule type="expression" dxfId="250" priority="45">
      <formula>OR($D19="No",$D19="Không")</formula>
    </cfRule>
    <cfRule type="expression" dxfId="249" priority="46">
      <formula>OR(#REF!="No",#REF!="Không")</formula>
    </cfRule>
  </conditionalFormatting>
  <conditionalFormatting sqref="L19">
    <cfRule type="expression" dxfId="248" priority="47">
      <formula>OR($D19="No",$D19="Không")</formula>
    </cfRule>
    <cfRule type="expression" dxfId="247" priority="48">
      <formula>OR(#REF!="No",#REF!="Không")</formula>
    </cfRule>
  </conditionalFormatting>
  <conditionalFormatting sqref="E44">
    <cfRule type="expression" dxfId="246" priority="28">
      <formula>#REF!&lt;&gt;"Prescriptive Path"</formula>
    </cfRule>
  </conditionalFormatting>
  <conditionalFormatting sqref="E55">
    <cfRule type="expression" dxfId="245" priority="27">
      <formula>#REF!&lt;&gt;"Prescriptive Path"</formula>
    </cfRule>
  </conditionalFormatting>
  <conditionalFormatting sqref="E80">
    <cfRule type="expression" dxfId="244" priority="26">
      <formula>#REF!&lt;&gt;"Prescriptive Path"</formula>
    </cfRule>
  </conditionalFormatting>
  <conditionalFormatting sqref="B64">
    <cfRule type="expression" dxfId="243" priority="25">
      <formula>#REF!&lt;&gt;"Prescriptive Path"</formula>
    </cfRule>
  </conditionalFormatting>
  <conditionalFormatting sqref="B14">
    <cfRule type="expression" dxfId="242" priority="18">
      <formula>$D$15="Performance Path"</formula>
    </cfRule>
  </conditionalFormatting>
  <conditionalFormatting sqref="H14 J14 L14">
    <cfRule type="expression" dxfId="241" priority="17">
      <formula>OR(#REF!="No",#REF!="Không")</formula>
    </cfRule>
  </conditionalFormatting>
  <conditionalFormatting sqref="H14">
    <cfRule type="expression" dxfId="240" priority="19">
      <formula>OR($D14="No",$D14="Không")</formula>
    </cfRule>
    <cfRule type="expression" dxfId="239" priority="20">
      <formula>OR(#REF!="No",#REF!="Không")</formula>
    </cfRule>
  </conditionalFormatting>
  <conditionalFormatting sqref="J14">
    <cfRule type="expression" dxfId="238" priority="21">
      <formula>OR($D14="No",$D14="Không")</formula>
    </cfRule>
    <cfRule type="expression" dxfId="237" priority="22">
      <formula>OR(#REF!="No",#REF!="Không")</formula>
    </cfRule>
  </conditionalFormatting>
  <conditionalFormatting sqref="L14">
    <cfRule type="expression" dxfId="236" priority="23">
      <formula>OR($D14="No",$D14="Không")</formula>
    </cfRule>
    <cfRule type="expression" dxfId="235" priority="24">
      <formula>OR(#REF!="No",#REF!="Không")</formula>
    </cfRule>
  </conditionalFormatting>
  <conditionalFormatting sqref="J15">
    <cfRule type="expression" dxfId="234" priority="14">
      <formula>OR(#REF!="No",#REF!="Không")</formula>
    </cfRule>
  </conditionalFormatting>
  <conditionalFormatting sqref="J15">
    <cfRule type="expression" dxfId="233" priority="15">
      <formula>OR($D15="No",$D15="Không")</formula>
    </cfRule>
    <cfRule type="expression" dxfId="232" priority="16">
      <formula>OR(#REF!="No",#REF!="Không")</formula>
    </cfRule>
  </conditionalFormatting>
  <conditionalFormatting sqref="B48">
    <cfRule type="expression" dxfId="231" priority="13">
      <formula>#REF!&lt;&gt;"Prescriptive Path"</formula>
    </cfRule>
  </conditionalFormatting>
  <conditionalFormatting sqref="B49">
    <cfRule type="expression" dxfId="230" priority="12">
      <formula>#REF!&lt;&gt;"Prescriptive Path"</formula>
    </cfRule>
  </conditionalFormatting>
  <conditionalFormatting sqref="B49">
    <cfRule type="expression" dxfId="229" priority="11">
      <formula>#REF!&lt;&gt;"Prescriptive Path"</formula>
    </cfRule>
  </conditionalFormatting>
  <conditionalFormatting sqref="B50">
    <cfRule type="expression" dxfId="228" priority="10">
      <formula>#REF!&lt;&gt;"Prescriptive Path"</formula>
    </cfRule>
  </conditionalFormatting>
  <conditionalFormatting sqref="B50">
    <cfRule type="expression" dxfId="227" priority="9">
      <formula>#REF!&lt;&gt;"Prescriptive Path"</formula>
    </cfRule>
  </conditionalFormatting>
  <conditionalFormatting sqref="B51">
    <cfRule type="expression" dxfId="226" priority="8">
      <formula>#REF!&lt;&gt;"Prescriptive Path"</formula>
    </cfRule>
  </conditionalFormatting>
  <conditionalFormatting sqref="B51">
    <cfRule type="expression" dxfId="225" priority="7">
      <formula>#REF!&lt;&gt;"Prescriptive Path"</formula>
    </cfRule>
  </conditionalFormatting>
  <conditionalFormatting sqref="B52">
    <cfRule type="expression" dxfId="224" priority="6">
      <formula>#REF!&lt;&gt;"Prescriptive Path"</formula>
    </cfRule>
  </conditionalFormatting>
  <conditionalFormatting sqref="B52">
    <cfRule type="expression" dxfId="223" priority="5">
      <formula>#REF!&lt;&gt;"Prescriptive Path"</formula>
    </cfRule>
  </conditionalFormatting>
  <conditionalFormatting sqref="B53">
    <cfRule type="expression" dxfId="222" priority="4">
      <formula>#REF!&lt;&gt;"Prescriptive Path"</formula>
    </cfRule>
  </conditionalFormatting>
  <conditionalFormatting sqref="B53">
    <cfRule type="expression" dxfId="221" priority="3">
      <formula>#REF!&lt;&gt;"Prescriptive Path"</formula>
    </cfRule>
  </conditionalFormatting>
  <conditionalFormatting sqref="C64:C65">
    <cfRule type="expression" dxfId="220" priority="2">
      <formula>#REF!&lt;&gt;"Prescriptive Path"</formula>
    </cfRule>
  </conditionalFormatting>
  <conditionalFormatting sqref="C89">
    <cfRule type="expression" dxfId="219" priority="1">
      <formula>#REF!&lt;&gt;"Prescriptive Path"</formula>
    </cfRule>
  </conditionalFormatting>
  <dataValidations count="5">
    <dataValidation type="list" allowBlank="1" showInputMessage="1" showErrorMessage="1" sqref="E11">
      <formula1>"Select,Prescriptive Path, Performance Path"</formula1>
    </dataValidation>
    <dataValidation type="list" allowBlank="1" showInputMessage="1" showErrorMessage="1" sqref="C110">
      <formula1>Locations</formula1>
    </dataValidation>
    <dataValidation type="list" allowBlank="1" showInputMessage="1" showErrorMessage="1" sqref="I85:J85 J139:K141 I60:J60">
      <formula1>"Select,Submitted,Not submitted"</formula1>
    </dataValidation>
    <dataValidation type="list" allowBlank="1" showInputMessage="1" showErrorMessage="1" sqref="E48:F53">
      <formula1>"Select,Native/climate adapted, Non-native/climate adapted "</formula1>
    </dataValidation>
    <dataValidation type="list" allowBlank="1" showInputMessage="1" showErrorMessage="1" sqref="E77:F77 E43:F43 E126:F126">
      <formula1>"Select,Yes,No"</formula1>
    </dataValidation>
  </dataValidations>
  <hyperlinks>
    <hyperlink ref="P2" location="'W-1 Water Efficient Fixtures'!E3" tooltip="W-1" display="W-1"/>
    <hyperlink ref="P3" location="'W-3 Drinking Water '!E3" tooltip="W-3" display="W-3"/>
    <hyperlink ref="P4" location="'Water BPC'!D3" tooltip="BPC" display="BPC"/>
  </hyperlinks>
  <pageMargins left="0.7" right="0.7" top="0.75" bottom="0.75" header="0.3" footer="0.3"/>
  <pageSetup orientation="portrait" horizontalDpi="300" verticalDpi="0" r:id="rId1"/>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0563C1"/>
  </sheetPr>
  <dimension ref="A1:P203"/>
  <sheetViews>
    <sheetView showRowColHeaders="0" workbookViewId="0">
      <pane ySplit="8" topLeftCell="A9" activePane="bottomLeft" state="frozen"/>
      <selection pane="bottomLeft" activeCell="E28" sqref="E28"/>
    </sheetView>
  </sheetViews>
  <sheetFormatPr defaultColWidth="0" defaultRowHeight="15" customHeight="1" zeroHeight="1" x14ac:dyDescent="0.25"/>
  <cols>
    <col min="1" max="1" width="5" style="42" customWidth="1"/>
    <col min="2" max="3" width="18.7109375" style="42" customWidth="1"/>
    <col min="4" max="5" width="16.7109375" style="42" customWidth="1"/>
    <col min="6" max="6" width="19" style="42" customWidth="1"/>
    <col min="7" max="7" width="20.28515625" style="42" customWidth="1"/>
    <col min="8" max="8" width="22.42578125" style="42" customWidth="1"/>
    <col min="9" max="9" width="22" style="42" customWidth="1"/>
    <col min="10" max="10" width="15.7109375" style="42" customWidth="1"/>
    <col min="11" max="16384" width="9.140625" style="42" hidden="1"/>
  </cols>
  <sheetData>
    <row r="1" spans="1:16" ht="23.25" x14ac:dyDescent="0.25">
      <c r="A1" s="1769" t="s">
        <v>264</v>
      </c>
      <c r="B1" s="1769"/>
      <c r="C1" s="1769"/>
      <c r="D1" s="1769"/>
      <c r="E1" s="1769"/>
      <c r="F1" s="1769"/>
      <c r="G1" s="127"/>
      <c r="H1" s="127"/>
      <c r="I1" s="127"/>
      <c r="J1" s="127"/>
      <c r="K1" s="127"/>
    </row>
    <row r="2" spans="1:16" ht="15" customHeight="1" x14ac:dyDescent="0.25">
      <c r="A2" s="54"/>
      <c r="B2" s="54"/>
      <c r="C2" s="54"/>
      <c r="D2" s="54"/>
      <c r="E2" s="54"/>
      <c r="F2" s="54"/>
      <c r="G2" s="53"/>
      <c r="H2" s="53"/>
      <c r="I2" s="1426" t="s">
        <v>536</v>
      </c>
      <c r="J2" s="243" t="s">
        <v>88</v>
      </c>
      <c r="K2" s="239"/>
      <c r="L2" s="53"/>
    </row>
    <row r="3" spans="1:16" ht="15" customHeight="1" x14ac:dyDescent="0.25">
      <c r="A3" s="54"/>
      <c r="B3" s="54"/>
      <c r="C3" s="54"/>
      <c r="D3" s="54"/>
      <c r="E3" s="54"/>
      <c r="F3" s="54"/>
      <c r="G3" s="53"/>
      <c r="H3" s="53"/>
      <c r="I3" s="1426"/>
      <c r="J3" s="243" t="s">
        <v>93</v>
      </c>
      <c r="K3" s="239"/>
      <c r="L3" s="53"/>
    </row>
    <row r="4" spans="1:16" ht="15" customHeight="1" x14ac:dyDescent="0.25">
      <c r="A4" s="54"/>
      <c r="B4" s="54"/>
      <c r="C4" s="54"/>
      <c r="D4" s="54"/>
      <c r="E4" s="54"/>
      <c r="F4" s="54"/>
      <c r="G4" s="53"/>
      <c r="H4" s="53"/>
      <c r="I4" s="1427"/>
      <c r="J4" s="243" t="s">
        <v>79</v>
      </c>
      <c r="K4" s="239"/>
      <c r="L4" s="53"/>
    </row>
    <row r="5" spans="1:16" ht="18" customHeight="1" x14ac:dyDescent="0.25">
      <c r="A5" s="1417" t="s">
        <v>2207</v>
      </c>
      <c r="B5" s="1418"/>
      <c r="C5" s="1418"/>
      <c r="D5" s="1418"/>
      <c r="E5" s="1418"/>
      <c r="F5" s="1418"/>
      <c r="G5" s="1418"/>
      <c r="H5" s="1418"/>
      <c r="I5" s="1418"/>
      <c r="J5" s="1418"/>
      <c r="K5" s="194"/>
    </row>
    <row r="6" spans="1:16" ht="18" customHeight="1" x14ac:dyDescent="0.25">
      <c r="A6" s="1420"/>
      <c r="B6" s="1421"/>
      <c r="C6" s="1421"/>
      <c r="D6" s="1421"/>
      <c r="E6" s="1421"/>
      <c r="F6" s="1421"/>
      <c r="G6" s="1421"/>
      <c r="H6" s="1421"/>
      <c r="I6" s="1421"/>
      <c r="J6" s="1421"/>
      <c r="K6" s="196"/>
    </row>
    <row r="7" spans="1:16" ht="18" customHeight="1" x14ac:dyDescent="0.25">
      <c r="A7" s="1423"/>
      <c r="B7" s="1424"/>
      <c r="C7" s="1424"/>
      <c r="D7" s="1424"/>
      <c r="E7" s="1424"/>
      <c r="F7" s="1424"/>
      <c r="G7" s="1424"/>
      <c r="H7" s="1424"/>
      <c r="I7" s="1424"/>
      <c r="J7" s="1424"/>
      <c r="K7" s="198"/>
    </row>
    <row r="8" spans="1:16" ht="10.5" customHeight="1" x14ac:dyDescent="0.25">
      <c r="A8" s="53"/>
      <c r="B8" s="54"/>
      <c r="C8" s="54"/>
      <c r="D8" s="54"/>
      <c r="E8" s="54"/>
      <c r="F8" s="53"/>
      <c r="G8" s="53"/>
      <c r="H8" s="53"/>
      <c r="I8" s="53"/>
      <c r="J8" s="53"/>
      <c r="K8" s="53"/>
    </row>
    <row r="9" spans="1:16" ht="18" customHeight="1" x14ac:dyDescent="0.25">
      <c r="A9" s="1718" t="s">
        <v>380</v>
      </c>
      <c r="B9" s="1718"/>
      <c r="C9" s="1718"/>
      <c r="D9" s="1718"/>
      <c r="E9" s="1718"/>
      <c r="F9" s="1718"/>
      <c r="G9" s="1718"/>
      <c r="H9" s="1718"/>
      <c r="I9" s="1718"/>
      <c r="J9" s="1718"/>
      <c r="K9" s="1718"/>
      <c r="L9" s="1718"/>
      <c r="M9" s="1718"/>
      <c r="N9" s="1718"/>
      <c r="O9" s="1718"/>
      <c r="P9" s="1718"/>
    </row>
    <row r="10" spans="1:16" ht="16.5" customHeight="1" x14ac:dyDescent="0.25">
      <c r="A10" s="53"/>
      <c r="B10" s="53"/>
      <c r="C10" s="53"/>
      <c r="D10" s="53"/>
      <c r="E10" s="53"/>
      <c r="F10" s="53"/>
      <c r="G10" s="53"/>
      <c r="H10" s="53"/>
      <c r="I10" s="53"/>
      <c r="J10" s="53"/>
      <c r="K10" s="53"/>
    </row>
    <row r="11" spans="1:16" ht="19.5" customHeight="1" x14ac:dyDescent="0.25">
      <c r="A11" s="53"/>
      <c r="B11" s="1671" t="s">
        <v>192</v>
      </c>
      <c r="C11" s="1672"/>
      <c r="D11" s="1672"/>
      <c r="E11" s="1672"/>
      <c r="F11" s="648" t="s">
        <v>157</v>
      </c>
      <c r="G11" s="648" t="s">
        <v>56</v>
      </c>
      <c r="H11" s="70" t="s">
        <v>521</v>
      </c>
      <c r="I11" s="53"/>
      <c r="J11" s="53"/>
      <c r="K11" s="53"/>
    </row>
    <row r="12" spans="1:16" ht="19.5" customHeight="1" x14ac:dyDescent="0.25">
      <c r="A12" s="53"/>
      <c r="B12" s="1633" t="s">
        <v>396</v>
      </c>
      <c r="C12" s="1634"/>
      <c r="D12" s="1634"/>
      <c r="E12" s="1634"/>
      <c r="F12" s="78">
        <v>1</v>
      </c>
      <c r="G12" s="59">
        <f>C43</f>
        <v>0</v>
      </c>
      <c r="H12" s="59" t="str">
        <f>C44</f>
        <v>No</v>
      </c>
      <c r="I12" s="53"/>
      <c r="J12" s="53"/>
      <c r="K12" s="53"/>
    </row>
    <row r="13" spans="1:16" ht="16.5" customHeight="1" x14ac:dyDescent="0.25">
      <c r="A13" s="54"/>
      <c r="B13" s="54"/>
      <c r="C13" s="54"/>
      <c r="D13" s="54"/>
      <c r="E13" s="54"/>
      <c r="F13" s="54"/>
      <c r="G13" s="53"/>
      <c r="H13" s="53"/>
      <c r="I13" s="53"/>
      <c r="J13" s="53"/>
      <c r="K13" s="53"/>
    </row>
    <row r="14" spans="1:16" ht="18" customHeight="1" x14ac:dyDescent="0.25">
      <c r="A14" s="1718" t="s">
        <v>265</v>
      </c>
      <c r="B14" s="1718"/>
      <c r="C14" s="1718"/>
      <c r="D14" s="1718"/>
      <c r="E14" s="1718"/>
      <c r="F14" s="1718"/>
      <c r="G14" s="1718"/>
      <c r="H14" s="1718"/>
      <c r="I14" s="1718"/>
      <c r="J14" s="1718"/>
      <c r="K14" s="1718"/>
      <c r="L14" s="1718"/>
      <c r="M14" s="1718"/>
      <c r="N14" s="1718"/>
      <c r="O14" s="1718"/>
      <c r="P14" s="1718"/>
    </row>
    <row r="15" spans="1:16" x14ac:dyDescent="0.25">
      <c r="A15" s="54"/>
      <c r="B15" s="54"/>
      <c r="C15" s="54"/>
      <c r="D15" s="54"/>
      <c r="E15" s="54"/>
      <c r="F15" s="54"/>
      <c r="G15" s="54"/>
      <c r="H15" s="54"/>
      <c r="I15" s="54"/>
      <c r="J15" s="54"/>
      <c r="K15" s="54"/>
    </row>
    <row r="16" spans="1:16" x14ac:dyDescent="0.25">
      <c r="A16" s="54"/>
      <c r="B16" s="859" t="s">
        <v>1646</v>
      </c>
      <c r="C16" s="638"/>
      <c r="D16" s="638"/>
      <c r="E16" s="638"/>
      <c r="F16" s="638"/>
      <c r="G16" s="639"/>
      <c r="H16" s="54"/>
      <c r="I16" s="54"/>
      <c r="J16" s="54"/>
      <c r="K16" s="54"/>
    </row>
    <row r="17" spans="1:13" x14ac:dyDescent="0.25">
      <c r="A17" s="54"/>
      <c r="B17" s="851" t="s">
        <v>1255</v>
      </c>
      <c r="C17" s="635"/>
      <c r="D17" s="635"/>
      <c r="E17" s="635"/>
      <c r="F17" s="635"/>
      <c r="G17" s="641"/>
      <c r="H17" s="54"/>
      <c r="I17" s="54"/>
      <c r="J17" s="54"/>
      <c r="K17" s="54"/>
    </row>
    <row r="18" spans="1:13" x14ac:dyDescent="0.25">
      <c r="A18" s="54"/>
      <c r="B18" s="640" t="s">
        <v>402</v>
      </c>
      <c r="C18" s="635"/>
      <c r="D18" s="635"/>
      <c r="E18" s="635"/>
      <c r="F18" s="635"/>
      <c r="G18" s="641"/>
      <c r="H18" s="54"/>
      <c r="I18" s="54"/>
      <c r="J18" s="54"/>
      <c r="K18" s="54"/>
    </row>
    <row r="19" spans="1:13" x14ac:dyDescent="0.25">
      <c r="A19" s="54"/>
      <c r="B19" s="640" t="s">
        <v>398</v>
      </c>
      <c r="C19" s="635"/>
      <c r="D19" s="635"/>
      <c r="E19" s="635"/>
      <c r="F19" s="635"/>
      <c r="G19" s="641"/>
      <c r="H19" s="54"/>
      <c r="I19" s="54"/>
      <c r="J19" s="54"/>
      <c r="K19" s="54"/>
    </row>
    <row r="20" spans="1:13" x14ac:dyDescent="0.25">
      <c r="A20" s="54"/>
      <c r="B20" s="640" t="s">
        <v>399</v>
      </c>
      <c r="C20" s="635"/>
      <c r="D20" s="635"/>
      <c r="E20" s="635"/>
      <c r="F20" s="635"/>
      <c r="G20" s="641"/>
      <c r="H20" s="54"/>
      <c r="I20" s="54"/>
      <c r="J20" s="54"/>
      <c r="K20" s="54"/>
    </row>
    <row r="21" spans="1:13" x14ac:dyDescent="0.25">
      <c r="A21" s="54"/>
      <c r="B21" s="642" t="s">
        <v>401</v>
      </c>
      <c r="C21" s="643"/>
      <c r="D21" s="643"/>
      <c r="E21" s="643"/>
      <c r="F21" s="643"/>
      <c r="G21" s="644"/>
      <c r="H21" s="54"/>
      <c r="I21" s="54"/>
      <c r="J21" s="54"/>
      <c r="K21" s="54"/>
    </row>
    <row r="22" spans="1:13" x14ac:dyDescent="0.25">
      <c r="A22" s="54"/>
      <c r="B22" s="54"/>
      <c r="C22" s="54"/>
      <c r="D22" s="54"/>
      <c r="E22" s="54"/>
      <c r="F22" s="54"/>
      <c r="G22" s="54"/>
      <c r="H22" s="54"/>
      <c r="I22" s="54"/>
      <c r="J22" s="54"/>
      <c r="K22" s="54"/>
    </row>
    <row r="23" spans="1:13" x14ac:dyDescent="0.25">
      <c r="A23" s="54"/>
      <c r="B23" s="1411" t="s">
        <v>1330</v>
      </c>
      <c r="C23" s="1645"/>
      <c r="D23" s="1645"/>
      <c r="E23" s="1645"/>
      <c r="F23" s="1645"/>
      <c r="G23" s="54"/>
      <c r="H23" s="54"/>
      <c r="I23" s="54"/>
      <c r="J23" s="54"/>
      <c r="K23" s="54"/>
    </row>
    <row r="24" spans="1:13" ht="9" customHeight="1" x14ac:dyDescent="0.25">
      <c r="A24" s="54"/>
      <c r="B24" s="54"/>
      <c r="C24" s="54"/>
      <c r="D24" s="54"/>
      <c r="E24" s="54"/>
      <c r="F24" s="54"/>
      <c r="G24" s="54"/>
      <c r="H24" s="54"/>
      <c r="I24" s="54"/>
      <c r="J24" s="54"/>
      <c r="K24" s="54"/>
    </row>
    <row r="25" spans="1:13" ht="18" customHeight="1" x14ac:dyDescent="0.25">
      <c r="A25" s="54"/>
      <c r="B25" s="1524" t="s">
        <v>1647</v>
      </c>
      <c r="C25" s="1524"/>
      <c r="D25" s="1524"/>
      <c r="E25" s="1043" t="s">
        <v>129</v>
      </c>
      <c r="F25" s="54"/>
      <c r="G25" s="54"/>
      <c r="H25" s="54"/>
      <c r="I25" s="54"/>
      <c r="J25" s="54"/>
      <c r="K25" s="965" t="b">
        <v>0</v>
      </c>
      <c r="L25" s="87" t="b">
        <v>0</v>
      </c>
    </row>
    <row r="26" spans="1:13" ht="9" customHeight="1" x14ac:dyDescent="0.25">
      <c r="A26" s="54"/>
      <c r="B26" s="54"/>
      <c r="C26" s="54"/>
      <c r="D26" s="54"/>
      <c r="E26" s="54"/>
      <c r="F26" s="54"/>
      <c r="G26" s="54"/>
      <c r="H26" s="54"/>
      <c r="I26" s="54"/>
      <c r="J26" s="54"/>
      <c r="K26" s="54"/>
    </row>
    <row r="27" spans="1:13" ht="18" customHeight="1" x14ac:dyDescent="0.25">
      <c r="A27" s="54"/>
      <c r="B27" s="1770" t="s">
        <v>397</v>
      </c>
      <c r="C27" s="1770"/>
      <c r="D27" s="1770"/>
      <c r="E27" s="1771"/>
      <c r="F27" s="650" t="s">
        <v>400</v>
      </c>
      <c r="G27" s="1772" t="s">
        <v>983</v>
      </c>
      <c r="H27" s="1773"/>
      <c r="I27" s="54"/>
      <c r="J27" s="54"/>
      <c r="K27" s="54"/>
    </row>
    <row r="28" spans="1:13" ht="18" customHeight="1" x14ac:dyDescent="0.25">
      <c r="A28" s="54"/>
      <c r="B28" s="1524" t="s">
        <v>402</v>
      </c>
      <c r="C28" s="1524"/>
      <c r="D28" s="1524"/>
      <c r="E28" s="1191" t="s">
        <v>129</v>
      </c>
      <c r="F28" s="259" t="s">
        <v>129</v>
      </c>
      <c r="G28" s="1470"/>
      <c r="H28" s="1470"/>
      <c r="I28" s="54"/>
      <c r="J28" s="54"/>
      <c r="K28" s="87" t="b">
        <v>0</v>
      </c>
      <c r="M28" s="87" t="str">
        <f>IF(AND(K28=TRUE,F28&lt;&gt;"Select"),IF(F28="other",IF(G28&lt;&gt;"","Yes","No"),"Yes"),"No")</f>
        <v>No</v>
      </c>
    </row>
    <row r="29" spans="1:13" ht="18" customHeight="1" x14ac:dyDescent="0.25">
      <c r="A29" s="54"/>
      <c r="B29" s="1524" t="s">
        <v>398</v>
      </c>
      <c r="C29" s="1524"/>
      <c r="D29" s="1524"/>
      <c r="E29" s="1191" t="s">
        <v>129</v>
      </c>
      <c r="F29" s="259" t="s">
        <v>129</v>
      </c>
      <c r="G29" s="1470"/>
      <c r="H29" s="1470"/>
      <c r="I29" s="54"/>
      <c r="J29" s="54"/>
      <c r="K29" s="87" t="b">
        <v>0</v>
      </c>
      <c r="M29" s="87" t="str">
        <f>IF(AND(K29=TRUE,F29&lt;&gt;"Select"),IF(F29="other",IF(G29&lt;&gt;"","Yes","No"),"Yes"),"No")</f>
        <v>No</v>
      </c>
    </row>
    <row r="30" spans="1:13" ht="18" customHeight="1" x14ac:dyDescent="0.25">
      <c r="A30" s="54"/>
      <c r="B30" s="1524" t="s">
        <v>399</v>
      </c>
      <c r="C30" s="1524"/>
      <c r="D30" s="1524"/>
      <c r="E30" s="1191" t="s">
        <v>129</v>
      </c>
      <c r="F30" s="259" t="s">
        <v>129</v>
      </c>
      <c r="G30" s="1470"/>
      <c r="H30" s="1470"/>
      <c r="I30" s="54"/>
      <c r="J30" s="54"/>
      <c r="K30" s="87" t="b">
        <v>0</v>
      </c>
      <c r="M30" s="87" t="str">
        <f>IF(AND(K30=TRUE,F30&lt;&gt;"Select"),IF(F30="other",IF(G30&lt;&gt;"","Yes","No"),"Yes"),"No")</f>
        <v>No</v>
      </c>
    </row>
    <row r="31" spans="1:13" ht="18" customHeight="1" x14ac:dyDescent="0.25">
      <c r="A31" s="54"/>
      <c r="B31" s="1524" t="s">
        <v>401</v>
      </c>
      <c r="C31" s="1524"/>
      <c r="D31" s="1524"/>
      <c r="E31" s="1191" t="s">
        <v>129</v>
      </c>
      <c r="F31" s="259" t="s">
        <v>129</v>
      </c>
      <c r="G31" s="1470"/>
      <c r="H31" s="1470"/>
      <c r="I31" s="54"/>
      <c r="J31" s="54"/>
      <c r="K31" s="87" t="b">
        <v>0</v>
      </c>
      <c r="M31" s="87" t="str">
        <f>IF(AND(K31=TRUE,F31&lt;&gt;"Select"),IF(F31="other",IF(G31&lt;&gt;"","Yes","No"),"Yes"),"No")</f>
        <v>No</v>
      </c>
    </row>
    <row r="32" spans="1:13" x14ac:dyDescent="0.25">
      <c r="A32" s="54"/>
      <c r="B32" s="54"/>
      <c r="C32" s="54"/>
      <c r="D32" s="54"/>
      <c r="E32" s="54"/>
      <c r="F32" s="54"/>
      <c r="G32" s="54"/>
      <c r="H32" s="54"/>
      <c r="I32" s="54"/>
      <c r="J32" s="54"/>
      <c r="K32" s="54"/>
    </row>
    <row r="33" spans="1:16" ht="18" customHeight="1" x14ac:dyDescent="0.25">
      <c r="A33" s="54"/>
      <c r="B33" s="1746" t="s">
        <v>982</v>
      </c>
      <c r="C33" s="1747"/>
      <c r="D33" s="1748"/>
      <c r="E33" s="182" t="str">
        <f>IF(AND(E25="Yes",E28="Yes",E29="Yes",E30="Yes",E31="Yes"),"Yes","No")</f>
        <v>No</v>
      </c>
      <c r="G33" s="54"/>
      <c r="H33" s="54"/>
      <c r="I33" s="54"/>
      <c r="J33" s="54"/>
      <c r="K33" s="54"/>
    </row>
    <row r="34" spans="1:16" ht="19.5" customHeight="1" x14ac:dyDescent="0.25">
      <c r="A34" s="54"/>
      <c r="B34" s="54"/>
      <c r="C34" s="54"/>
      <c r="D34" s="54"/>
      <c r="E34" s="54"/>
      <c r="F34" s="54"/>
      <c r="G34" s="54"/>
      <c r="H34" s="54"/>
      <c r="I34" s="54"/>
      <c r="J34" s="54"/>
      <c r="K34" s="54"/>
    </row>
    <row r="35" spans="1:16" ht="18" customHeight="1" x14ac:dyDescent="0.25">
      <c r="A35" s="1718" t="s">
        <v>200</v>
      </c>
      <c r="B35" s="1718"/>
      <c r="C35" s="1718"/>
      <c r="D35" s="1718"/>
      <c r="E35" s="1718"/>
      <c r="F35" s="1718"/>
      <c r="G35" s="1718"/>
      <c r="H35" s="1718"/>
      <c r="I35" s="1718"/>
      <c r="J35" s="1718"/>
      <c r="K35" s="1718"/>
      <c r="L35" s="1718"/>
      <c r="M35" s="1718"/>
      <c r="N35" s="1718"/>
      <c r="O35" s="1718"/>
      <c r="P35" s="1718"/>
    </row>
    <row r="36" spans="1:16" x14ac:dyDescent="0.25">
      <c r="A36" s="54"/>
      <c r="B36" s="54"/>
      <c r="C36" s="54"/>
      <c r="D36" s="54"/>
      <c r="E36" s="54"/>
      <c r="F36" s="54"/>
      <c r="G36" s="54"/>
      <c r="H36" s="54"/>
      <c r="I36" s="54"/>
      <c r="J36" s="54"/>
      <c r="K36" s="54"/>
    </row>
    <row r="37" spans="1:16" ht="18" customHeight="1" x14ac:dyDescent="0.25">
      <c r="A37" s="53"/>
      <c r="B37" s="1714" t="s">
        <v>2103</v>
      </c>
      <c r="C37" s="1715"/>
      <c r="D37" s="1715"/>
      <c r="E37" s="1715"/>
      <c r="F37" s="1715"/>
      <c r="G37" s="1046" t="s">
        <v>2101</v>
      </c>
      <c r="H37" s="1716" t="s">
        <v>2102</v>
      </c>
      <c r="I37" s="1717"/>
      <c r="J37" s="53"/>
      <c r="K37" s="54"/>
    </row>
    <row r="38" spans="1:16" ht="24" customHeight="1" x14ac:dyDescent="0.25">
      <c r="A38" s="53"/>
      <c r="B38" s="1436" t="s">
        <v>1896</v>
      </c>
      <c r="C38" s="1437"/>
      <c r="D38" s="1437"/>
      <c r="E38" s="1437"/>
      <c r="F38" s="1437"/>
      <c r="G38" s="259" t="s">
        <v>129</v>
      </c>
      <c r="H38" s="1441"/>
      <c r="I38" s="1442"/>
      <c r="J38" s="53"/>
      <c r="K38" s="54"/>
    </row>
    <row r="39" spans="1:16" ht="24" customHeight="1" x14ac:dyDescent="0.25">
      <c r="A39" s="53"/>
      <c r="B39" s="1436" t="s">
        <v>1254</v>
      </c>
      <c r="C39" s="1437"/>
      <c r="D39" s="1437"/>
      <c r="E39" s="1437"/>
      <c r="F39" s="1437"/>
      <c r="G39" s="518" t="s">
        <v>129</v>
      </c>
      <c r="H39" s="1441"/>
      <c r="I39" s="1442"/>
      <c r="J39" s="53"/>
      <c r="K39" s="54"/>
    </row>
    <row r="40" spans="1:16" ht="18" customHeight="1" x14ac:dyDescent="0.25">
      <c r="A40" s="54"/>
      <c r="B40" s="54"/>
      <c r="C40" s="54"/>
      <c r="D40" s="54"/>
      <c r="E40" s="54"/>
      <c r="F40" s="54"/>
      <c r="G40" s="54"/>
      <c r="H40" s="54"/>
      <c r="I40" s="54"/>
      <c r="J40" s="54"/>
      <c r="K40" s="54"/>
    </row>
    <row r="41" spans="1:16" ht="18" customHeight="1" x14ac:dyDescent="0.25">
      <c r="A41" s="1718" t="s">
        <v>25</v>
      </c>
      <c r="B41" s="1718"/>
      <c r="C41" s="1718"/>
      <c r="D41" s="1718"/>
      <c r="E41" s="1718"/>
      <c r="F41" s="1718"/>
      <c r="G41" s="1718"/>
      <c r="H41" s="1718"/>
      <c r="I41" s="1718"/>
      <c r="J41" s="1718"/>
      <c r="K41" s="1718"/>
      <c r="L41" s="1718"/>
      <c r="M41" s="1718"/>
      <c r="N41" s="1718"/>
      <c r="O41" s="1718"/>
      <c r="P41" s="1718"/>
    </row>
    <row r="42" spans="1:16" x14ac:dyDescent="0.25">
      <c r="A42" s="54"/>
      <c r="B42" s="54"/>
      <c r="C42" s="54"/>
      <c r="D42" s="54"/>
      <c r="E42" s="54"/>
      <c r="F42" s="54"/>
      <c r="G42" s="53"/>
      <c r="H42" s="53"/>
      <c r="I42" s="53"/>
      <c r="J42" s="53"/>
      <c r="K42" s="53"/>
    </row>
    <row r="43" spans="1:16" ht="18" customHeight="1" x14ac:dyDescent="0.25">
      <c r="A43" s="54"/>
      <c r="B43" s="208" t="s">
        <v>56</v>
      </c>
      <c r="C43" s="12">
        <f>IF(E33="Yes",1,0)</f>
        <v>0</v>
      </c>
      <c r="D43" s="54"/>
      <c r="E43" s="54"/>
      <c r="F43" s="54"/>
      <c r="G43" s="54"/>
      <c r="H43" s="54"/>
      <c r="I43" s="54"/>
      <c r="J43" s="54"/>
      <c r="K43" s="54"/>
    </row>
    <row r="44" spans="1:16" ht="18" customHeight="1" x14ac:dyDescent="0.25">
      <c r="A44" s="54"/>
      <c r="B44" s="208" t="s">
        <v>521</v>
      </c>
      <c r="C44" s="1193" t="str">
        <f>IF(AND(COUNTIF(G38:G39,"Submitted")=2,C43&gt;0),"Yes","No")</f>
        <v>No</v>
      </c>
      <c r="D44" s="54"/>
      <c r="E44" s="54"/>
      <c r="F44" s="54"/>
      <c r="G44" s="54"/>
      <c r="H44" s="54"/>
      <c r="I44" s="54"/>
      <c r="J44" s="54"/>
      <c r="K44" s="54"/>
    </row>
    <row r="45" spans="1:16" x14ac:dyDescent="0.25">
      <c r="A45" s="54"/>
      <c r="B45" s="54"/>
      <c r="C45" s="54"/>
      <c r="D45" s="54"/>
      <c r="E45" s="54"/>
      <c r="F45" s="54"/>
      <c r="G45" s="54"/>
      <c r="H45" s="54"/>
      <c r="I45" s="54"/>
      <c r="J45" s="54"/>
      <c r="K45" s="54"/>
    </row>
    <row r="46" spans="1:16" hidden="1" x14ac:dyDescent="0.25">
      <c r="A46" s="54"/>
      <c r="B46" s="54"/>
      <c r="C46" s="54"/>
      <c r="D46" s="54"/>
      <c r="E46" s="54"/>
      <c r="F46" s="54"/>
      <c r="G46" s="54"/>
      <c r="H46" s="54"/>
      <c r="I46" s="54"/>
      <c r="J46" s="54"/>
      <c r="K46" s="54"/>
    </row>
    <row r="47" spans="1:16" hidden="1" collapsed="1" x14ac:dyDescent="0.25">
      <c r="A47" s="54"/>
      <c r="B47" s="54"/>
      <c r="C47" s="54"/>
      <c r="D47" s="54"/>
      <c r="E47" s="54"/>
      <c r="F47" s="54"/>
      <c r="G47" s="53"/>
      <c r="H47" s="53"/>
      <c r="I47" s="53"/>
      <c r="J47" s="53"/>
      <c r="K47" s="53"/>
    </row>
    <row r="48" spans="1:16"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4.2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sheetData>
  <sheetProtection algorithmName="SHA-512" hashValue="dY9YyBCDXvyIh4dcWYruW2lcJsrjQQ5rb2suZW0dLRGLZXrl64DU0uU4k3a8YQxJLTEE4YzQwgijIDH4aTeHMQ==" saltValue="TIxTWsCdde3nF2shoxo08w==" spinCount="100000" sheet="1" objects="1" scenarios="1"/>
  <mergeCells count="28">
    <mergeCell ref="A1:F1"/>
    <mergeCell ref="B27:E27"/>
    <mergeCell ref="B31:D31"/>
    <mergeCell ref="I2:I4"/>
    <mergeCell ref="G27:H27"/>
    <mergeCell ref="G28:H28"/>
    <mergeCell ref="G29:H29"/>
    <mergeCell ref="B23:F23"/>
    <mergeCell ref="G30:H30"/>
    <mergeCell ref="B11:E11"/>
    <mergeCell ref="B12:E12"/>
    <mergeCell ref="G31:H31"/>
    <mergeCell ref="B30:D30"/>
    <mergeCell ref="B29:D29"/>
    <mergeCell ref="A5:J7"/>
    <mergeCell ref="A41:P41"/>
    <mergeCell ref="B28:D28"/>
    <mergeCell ref="B33:D33"/>
    <mergeCell ref="A9:P9"/>
    <mergeCell ref="A14:P14"/>
    <mergeCell ref="A35:P35"/>
    <mergeCell ref="B25:D25"/>
    <mergeCell ref="B39:F39"/>
    <mergeCell ref="H38:I38"/>
    <mergeCell ref="H39:I39"/>
    <mergeCell ref="B37:F37"/>
    <mergeCell ref="H37:I37"/>
    <mergeCell ref="B38:F38"/>
  </mergeCells>
  <conditionalFormatting sqref="B12 F12">
    <cfRule type="expression" dxfId="218" priority="7">
      <formula>OR(#REF!="No",#REF!="Không")</formula>
    </cfRule>
  </conditionalFormatting>
  <conditionalFormatting sqref="G12">
    <cfRule type="expression" dxfId="217" priority="5">
      <formula>OR($D12="No",$D12="Không")</formula>
    </cfRule>
    <cfRule type="expression" dxfId="216" priority="6">
      <formula>OR(#REF!="No",#REF!="Không")</formula>
    </cfRule>
  </conditionalFormatting>
  <conditionalFormatting sqref="G12">
    <cfRule type="expression" dxfId="215" priority="3">
      <formula>OR(#REF!="No",#REF!="Không")</formula>
    </cfRule>
  </conditionalFormatting>
  <conditionalFormatting sqref="B12 F12">
    <cfRule type="expression" dxfId="214" priority="9">
      <formula>OR($D12="No",$D12="Không")</formula>
    </cfRule>
    <cfRule type="expression" dxfId="213" priority="10">
      <formula>OR(#REF!="No",#REF!="Không")</formula>
    </cfRule>
  </conditionalFormatting>
  <conditionalFormatting sqref="B36:G36 A36:A40 B38 H36:XFD37 B40:XFD40 I38:XFD39 G38:G39 Q35:XFD35">
    <cfRule type="expression" dxfId="212" priority="2">
      <formula>#REF!&lt;&gt;"Prescriptive Path"</formula>
    </cfRule>
  </conditionalFormatting>
  <conditionalFormatting sqref="B39">
    <cfRule type="expression" dxfId="211" priority="1">
      <formula>#REF!&lt;&gt;"Prescriptive Path"</formula>
    </cfRule>
  </conditionalFormatting>
  <dataValidations count="3">
    <dataValidation type="list" allowBlank="1" showInputMessage="1" showErrorMessage="1" sqref="F28:F31">
      <formula1>"Select,sediment filter,reverse-osmosis filter,activated carbon filter, other"</formula1>
    </dataValidation>
    <dataValidation type="list" allowBlank="1" showInputMessage="1" showErrorMessage="1" sqref="G38:G39">
      <formula1>"Select,Submitted,Not submitted"</formula1>
    </dataValidation>
    <dataValidation type="list" allowBlank="1" showInputMessage="1" showErrorMessage="1" sqref="E25 E28:E31">
      <formula1>"Select,Yes,No"</formula1>
    </dataValidation>
  </dataValidations>
  <hyperlinks>
    <hyperlink ref="J3" location="'W-2 Water Efficient Landscaping'!E3" tooltip="W-2" display="W-2"/>
    <hyperlink ref="J4" location="'Water BPC'!D3" tooltip="BPC" display="BPC"/>
    <hyperlink ref="J2" location="'W-1 Water Efficient Fixtures'!E3" tooltip="W-1" display="W-1"/>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0563C1"/>
  </sheetPr>
  <dimension ref="A1:P114"/>
  <sheetViews>
    <sheetView showRowColHeaders="0" zoomScaleNormal="100" workbookViewId="0">
      <pane ySplit="7" topLeftCell="A8" activePane="bottomLeft" state="frozen"/>
      <selection pane="bottomLeft" activeCell="B13" sqref="B13:F13"/>
    </sheetView>
  </sheetViews>
  <sheetFormatPr defaultColWidth="0" defaultRowHeight="15" zeroHeight="1" x14ac:dyDescent="0.25"/>
  <cols>
    <col min="1" max="1" width="4.5703125" customWidth="1"/>
    <col min="2" max="2" width="18.85546875" customWidth="1"/>
    <col min="3" max="3" width="15.42578125" customWidth="1"/>
    <col min="4" max="4" width="18.7109375" customWidth="1"/>
    <col min="5" max="5" width="18.42578125" customWidth="1"/>
    <col min="6" max="6" width="18.5703125" customWidth="1"/>
    <col min="7" max="9" width="18.7109375" customWidth="1"/>
    <col min="10" max="10" width="15.85546875" customWidth="1"/>
    <col min="11" max="11" width="9.140625" customWidth="1"/>
    <col min="12" max="16384" width="9.140625" hidden="1"/>
  </cols>
  <sheetData>
    <row r="1" spans="1:16" ht="23.25" x14ac:dyDescent="0.25">
      <c r="A1" s="1769" t="s">
        <v>635</v>
      </c>
      <c r="B1" s="1769"/>
      <c r="C1" s="1769"/>
      <c r="D1" s="1769"/>
      <c r="E1" s="1769"/>
      <c r="F1" s="1769"/>
      <c r="G1" s="127"/>
      <c r="H1" s="127"/>
      <c r="I1" s="127"/>
      <c r="J1" s="127"/>
      <c r="K1" s="127"/>
    </row>
    <row r="2" spans="1:16" ht="15" customHeight="1" x14ac:dyDescent="0.25">
      <c r="A2" s="54"/>
      <c r="B2" s="54"/>
      <c r="C2" s="54"/>
      <c r="D2" s="54"/>
      <c r="E2" s="54"/>
      <c r="F2" s="54"/>
      <c r="G2" s="53"/>
      <c r="H2" s="53"/>
      <c r="I2" s="1652" t="s">
        <v>2104</v>
      </c>
      <c r="J2" s="1652"/>
      <c r="K2" s="243" t="s">
        <v>88</v>
      </c>
    </row>
    <row r="3" spans="1:16" x14ac:dyDescent="0.25">
      <c r="A3" s="54"/>
      <c r="B3" s="54"/>
      <c r="C3" s="54"/>
      <c r="D3" s="54"/>
      <c r="E3" s="54"/>
      <c r="F3" s="54"/>
      <c r="G3" s="53"/>
      <c r="H3" s="53"/>
      <c r="I3" s="1652"/>
      <c r="J3" s="1652"/>
      <c r="K3" s="243" t="s">
        <v>93</v>
      </c>
    </row>
    <row r="4" spans="1:16" x14ac:dyDescent="0.25">
      <c r="A4" s="54"/>
      <c r="B4" s="54"/>
      <c r="C4" s="54"/>
      <c r="D4" s="54"/>
      <c r="E4" s="54"/>
      <c r="F4" s="54"/>
      <c r="G4" s="53"/>
      <c r="H4" s="53"/>
      <c r="I4" s="1652"/>
      <c r="J4" s="1652"/>
      <c r="K4" s="243" t="s">
        <v>97</v>
      </c>
    </row>
    <row r="5" spans="1:16" s="42" customFormat="1" ht="18" customHeight="1" x14ac:dyDescent="0.25">
      <c r="A5" s="1417" t="s">
        <v>2208</v>
      </c>
      <c r="B5" s="1418"/>
      <c r="C5" s="1418"/>
      <c r="D5" s="1418"/>
      <c r="E5" s="1418"/>
      <c r="F5" s="1418"/>
      <c r="G5" s="1418"/>
      <c r="H5" s="1418"/>
      <c r="I5" s="1418"/>
      <c r="J5" s="1418"/>
      <c r="K5" s="1418"/>
      <c r="L5" s="1419"/>
    </row>
    <row r="6" spans="1:16" s="42" customFormat="1" ht="18" customHeight="1" x14ac:dyDescent="0.25">
      <c r="A6" s="1423"/>
      <c r="B6" s="1424"/>
      <c r="C6" s="1424"/>
      <c r="D6" s="1424"/>
      <c r="E6" s="1424"/>
      <c r="F6" s="1424"/>
      <c r="G6" s="1424"/>
      <c r="H6" s="1424"/>
      <c r="I6" s="1424"/>
      <c r="J6" s="1424"/>
      <c r="K6" s="1424"/>
      <c r="L6" s="1425"/>
      <c r="M6" s="53"/>
      <c r="N6" s="53"/>
    </row>
    <row r="7" spans="1:16" s="42" customFormat="1" ht="9" customHeight="1" x14ac:dyDescent="0.25">
      <c r="A7" s="53"/>
      <c r="B7" s="54"/>
      <c r="C7" s="54"/>
      <c r="D7" s="54"/>
      <c r="E7" s="54"/>
      <c r="F7" s="53"/>
      <c r="G7" s="53"/>
      <c r="H7" s="53"/>
      <c r="I7" s="53"/>
      <c r="J7" s="53"/>
      <c r="K7" s="53"/>
      <c r="L7" s="53"/>
      <c r="M7" s="53"/>
    </row>
    <row r="8" spans="1:16" ht="18" customHeight="1" x14ac:dyDescent="0.25">
      <c r="A8" s="1718" t="s">
        <v>636</v>
      </c>
      <c r="B8" s="1718"/>
      <c r="C8" s="1718"/>
      <c r="D8" s="1718"/>
      <c r="E8" s="1718"/>
      <c r="F8" s="1718"/>
      <c r="G8" s="1718"/>
      <c r="H8" s="1718"/>
      <c r="I8" s="1718"/>
      <c r="J8" s="1718"/>
      <c r="K8" s="1718"/>
      <c r="L8" s="1718"/>
      <c r="M8" s="1718"/>
      <c r="N8" s="1718"/>
      <c r="O8" s="1718"/>
      <c r="P8" s="1718"/>
    </row>
    <row r="9" spans="1:16" ht="16.5" customHeight="1" x14ac:dyDescent="0.25">
      <c r="A9" s="53"/>
      <c r="B9" s="53"/>
      <c r="C9" s="53"/>
      <c r="D9" s="53"/>
      <c r="E9" s="53"/>
      <c r="F9" s="53"/>
      <c r="G9" s="53"/>
      <c r="H9" s="53"/>
      <c r="I9" s="53"/>
      <c r="J9" s="53"/>
      <c r="K9" s="53"/>
    </row>
    <row r="10" spans="1:16" ht="19.5" customHeight="1" x14ac:dyDescent="0.25">
      <c r="A10" s="53"/>
      <c r="B10" s="1777" t="s">
        <v>192</v>
      </c>
      <c r="C10" s="1778"/>
      <c r="D10" s="1778"/>
      <c r="E10" s="1778"/>
      <c r="F10" s="1778"/>
      <c r="G10" s="648" t="s">
        <v>157</v>
      </c>
      <c r="H10" s="648" t="s">
        <v>56</v>
      </c>
      <c r="I10" s="70" t="s">
        <v>521</v>
      </c>
      <c r="J10" s="53"/>
      <c r="K10" s="53"/>
    </row>
    <row r="11" spans="1:16" ht="28.5" customHeight="1" x14ac:dyDescent="0.25">
      <c r="A11" s="53"/>
      <c r="B11" s="1633" t="s">
        <v>638</v>
      </c>
      <c r="C11" s="1634"/>
      <c r="D11" s="1634"/>
      <c r="E11" s="1634"/>
      <c r="F11" s="1635"/>
      <c r="G11" s="78">
        <v>1</v>
      </c>
      <c r="H11" s="553">
        <f>C48</f>
        <v>0</v>
      </c>
      <c r="I11" s="553" t="str">
        <f>C49</f>
        <v>No</v>
      </c>
      <c r="J11" s="53"/>
      <c r="K11" s="53"/>
    </row>
    <row r="12" spans="1:16" ht="42" customHeight="1" x14ac:dyDescent="0.25">
      <c r="A12" s="53"/>
      <c r="B12" s="1633" t="s">
        <v>918</v>
      </c>
      <c r="C12" s="1634"/>
      <c r="D12" s="1634"/>
      <c r="E12" s="1634"/>
      <c r="F12" s="1635"/>
      <c r="G12" s="78">
        <v>2</v>
      </c>
      <c r="H12" s="553">
        <f>C75</f>
        <v>0</v>
      </c>
      <c r="I12" s="553" t="str">
        <f>C76</f>
        <v>No</v>
      </c>
      <c r="J12" s="53"/>
      <c r="K12" s="53"/>
    </row>
    <row r="13" spans="1:16" ht="35.25" customHeight="1" x14ac:dyDescent="0.25">
      <c r="A13" s="53"/>
      <c r="B13" s="1633" t="s">
        <v>639</v>
      </c>
      <c r="C13" s="1634"/>
      <c r="D13" s="1634"/>
      <c r="E13" s="1634"/>
      <c r="F13" s="1635"/>
      <c r="G13" s="78">
        <v>1</v>
      </c>
      <c r="H13" s="553">
        <f>C108</f>
        <v>0</v>
      </c>
      <c r="I13" s="553" t="str">
        <f>C109</f>
        <v>No</v>
      </c>
      <c r="J13" s="53"/>
      <c r="K13" s="53"/>
    </row>
    <row r="14" spans="1:16" ht="21" customHeight="1" x14ac:dyDescent="0.25">
      <c r="A14" s="53"/>
      <c r="B14" s="1433" t="s">
        <v>82</v>
      </c>
      <c r="C14" s="1775"/>
      <c r="D14" s="1775"/>
      <c r="E14" s="1775"/>
      <c r="F14" s="1776"/>
      <c r="G14" s="702">
        <v>4</v>
      </c>
      <c r="H14" s="702">
        <f>MIN(4,SUM(H11:H13))</f>
        <v>0</v>
      </c>
      <c r="I14" s="702" t="str">
        <f>IF(AND(COUNTIF(I11:I13,"No")=0,COUNTIF(I11:I13,"Yes")&gt;0),"Yes","No")</f>
        <v>No</v>
      </c>
      <c r="J14" s="53"/>
      <c r="K14" s="53"/>
    </row>
    <row r="15" spans="1:16" ht="16.5" customHeight="1" x14ac:dyDescent="0.25">
      <c r="A15" s="54"/>
      <c r="B15" s="54"/>
      <c r="C15" s="54"/>
      <c r="D15" s="54"/>
      <c r="E15" s="54"/>
      <c r="F15" s="54"/>
      <c r="G15" s="53"/>
      <c r="H15" s="53"/>
      <c r="I15" s="53"/>
      <c r="J15" s="53"/>
      <c r="K15" s="53"/>
    </row>
    <row r="16" spans="1:16" ht="18" customHeight="1" x14ac:dyDescent="0.25">
      <c r="A16" s="1718" t="s">
        <v>637</v>
      </c>
      <c r="B16" s="1718"/>
      <c r="C16" s="1718"/>
      <c r="D16" s="1718"/>
      <c r="E16" s="1718"/>
      <c r="F16" s="1718"/>
      <c r="G16" s="1718"/>
      <c r="H16" s="1718"/>
      <c r="I16" s="1718"/>
      <c r="J16" s="1718"/>
      <c r="K16" s="1718"/>
      <c r="L16" s="1718"/>
      <c r="M16" s="1718"/>
      <c r="N16" s="1718"/>
      <c r="O16" s="1718"/>
      <c r="P16" s="1718"/>
    </row>
    <row r="17" spans="1:11" x14ac:dyDescent="0.25">
      <c r="A17" s="54"/>
      <c r="B17" s="54"/>
      <c r="C17" s="54"/>
      <c r="D17" s="54"/>
      <c r="E17" s="54"/>
      <c r="F17" s="54"/>
      <c r="G17" s="54"/>
      <c r="H17" s="54"/>
      <c r="I17" s="54"/>
      <c r="J17" s="54"/>
      <c r="K17" s="54"/>
    </row>
    <row r="18" spans="1:11" ht="16.5" customHeight="1" x14ac:dyDescent="0.25">
      <c r="A18" s="1684" t="s">
        <v>265</v>
      </c>
      <c r="B18" s="1684"/>
      <c r="C18" s="1684"/>
      <c r="D18" s="54"/>
      <c r="E18" s="54"/>
      <c r="F18" s="54"/>
      <c r="G18" s="54"/>
      <c r="H18" s="54"/>
      <c r="I18" s="54"/>
      <c r="J18" s="54"/>
      <c r="K18" s="54"/>
    </row>
    <row r="19" spans="1:11" x14ac:dyDescent="0.25">
      <c r="A19" s="54"/>
      <c r="B19" s="207"/>
      <c r="C19" s="54"/>
      <c r="D19" s="54"/>
      <c r="E19" s="54"/>
      <c r="F19" s="54"/>
      <c r="G19" s="54"/>
      <c r="H19" s="54"/>
      <c r="I19" s="54"/>
      <c r="J19" s="54"/>
      <c r="K19" s="54"/>
    </row>
    <row r="20" spans="1:11" x14ac:dyDescent="0.25">
      <c r="A20" s="54"/>
      <c r="B20" s="649" t="s">
        <v>1485</v>
      </c>
      <c r="C20" s="54"/>
      <c r="D20" s="54"/>
      <c r="E20" s="54"/>
      <c r="F20" s="54"/>
      <c r="G20" s="54"/>
      <c r="H20" s="54"/>
      <c r="I20" s="54"/>
      <c r="J20" s="54"/>
      <c r="K20" s="54"/>
    </row>
    <row r="21" spans="1:11" x14ac:dyDescent="0.25">
      <c r="A21" s="54"/>
      <c r="B21" s="54"/>
      <c r="C21" s="54"/>
      <c r="D21" s="54"/>
      <c r="E21" s="54"/>
      <c r="F21" s="54"/>
      <c r="G21" s="54"/>
      <c r="H21" s="54"/>
      <c r="I21" s="54"/>
      <c r="J21" s="54"/>
      <c r="K21" s="54"/>
    </row>
    <row r="22" spans="1:11" x14ac:dyDescent="0.25">
      <c r="A22" s="54"/>
      <c r="B22" s="653" t="s">
        <v>925</v>
      </c>
      <c r="C22" s="638"/>
      <c r="D22" s="638"/>
      <c r="E22" s="638"/>
      <c r="F22" s="639"/>
      <c r="G22" s="54"/>
      <c r="H22" s="54"/>
      <c r="I22" s="54"/>
      <c r="J22" s="54"/>
      <c r="K22" s="54"/>
    </row>
    <row r="23" spans="1:11" x14ac:dyDescent="0.25">
      <c r="A23" s="54"/>
      <c r="B23" s="640" t="s">
        <v>927</v>
      </c>
      <c r="C23" s="635"/>
      <c r="D23" s="635"/>
      <c r="E23" s="635"/>
      <c r="F23" s="641"/>
      <c r="G23" s="54"/>
      <c r="H23" s="54"/>
      <c r="I23" s="54"/>
      <c r="J23" s="54"/>
      <c r="K23" s="54"/>
    </row>
    <row r="24" spans="1:11" x14ac:dyDescent="0.25">
      <c r="A24" s="54"/>
      <c r="B24" s="640" t="s">
        <v>926</v>
      </c>
      <c r="C24" s="635"/>
      <c r="D24" s="635"/>
      <c r="E24" s="635"/>
      <c r="F24" s="641"/>
      <c r="G24" s="54"/>
      <c r="H24" s="54"/>
      <c r="I24" s="54"/>
      <c r="J24" s="54"/>
      <c r="K24" s="54"/>
    </row>
    <row r="25" spans="1:11" x14ac:dyDescent="0.25">
      <c r="A25" s="54"/>
      <c r="B25" s="640" t="s">
        <v>928</v>
      </c>
      <c r="C25" s="635"/>
      <c r="D25" s="635"/>
      <c r="E25" s="635"/>
      <c r="F25" s="641"/>
      <c r="G25" s="54"/>
      <c r="H25" s="54"/>
      <c r="I25" s="54"/>
      <c r="J25" s="54"/>
      <c r="K25" s="54"/>
    </row>
    <row r="26" spans="1:11" x14ac:dyDescent="0.25">
      <c r="A26" s="54"/>
      <c r="B26" s="640" t="s">
        <v>930</v>
      </c>
      <c r="C26" s="635"/>
      <c r="D26" s="635"/>
      <c r="E26" s="635"/>
      <c r="F26" s="641"/>
      <c r="G26" s="54"/>
      <c r="H26" s="54"/>
      <c r="I26" s="54"/>
      <c r="J26" s="54"/>
      <c r="K26" s="54"/>
    </row>
    <row r="27" spans="1:11" x14ac:dyDescent="0.25">
      <c r="A27" s="54"/>
      <c r="B27" s="642" t="s">
        <v>929</v>
      </c>
      <c r="C27" s="643"/>
      <c r="D27" s="643"/>
      <c r="E27" s="643"/>
      <c r="F27" s="644"/>
      <c r="G27" s="54"/>
      <c r="H27" s="54"/>
      <c r="I27" s="54"/>
      <c r="J27" s="54"/>
      <c r="K27" s="54"/>
    </row>
    <row r="28" spans="1:11" x14ac:dyDescent="0.25">
      <c r="A28" s="54"/>
      <c r="B28" s="54"/>
      <c r="C28" s="54"/>
      <c r="D28" s="54"/>
      <c r="E28" s="54"/>
      <c r="F28" s="54"/>
      <c r="G28" s="54"/>
      <c r="H28" s="54"/>
      <c r="I28" s="54"/>
      <c r="J28" s="54"/>
      <c r="K28" s="54"/>
    </row>
    <row r="29" spans="1:11" x14ac:dyDescent="0.25">
      <c r="A29" s="54"/>
      <c r="B29" s="717" t="s">
        <v>1486</v>
      </c>
      <c r="C29" s="54"/>
      <c r="D29" s="54"/>
      <c r="E29" s="54"/>
      <c r="F29" s="54"/>
      <c r="G29" s="54"/>
      <c r="H29" s="54"/>
      <c r="I29" s="54"/>
      <c r="J29" s="54"/>
      <c r="K29" s="54"/>
    </row>
    <row r="30" spans="1:11" ht="9.75" customHeight="1" x14ac:dyDescent="0.25">
      <c r="A30" s="54"/>
      <c r="B30" s="207"/>
      <c r="C30" s="54"/>
      <c r="D30" s="54"/>
      <c r="E30" s="54"/>
      <c r="F30" s="54"/>
      <c r="G30" s="54"/>
      <c r="H30" s="54"/>
      <c r="I30" s="54"/>
      <c r="J30" s="54"/>
      <c r="K30" s="54"/>
    </row>
    <row r="31" spans="1:11" ht="18" customHeight="1" x14ac:dyDescent="0.25">
      <c r="A31" s="54"/>
      <c r="B31" s="1524" t="s">
        <v>1632</v>
      </c>
      <c r="C31" s="1524"/>
      <c r="D31" s="1524"/>
      <c r="E31" s="555"/>
      <c r="F31" s="54"/>
      <c r="G31" s="54"/>
      <c r="H31" s="54"/>
      <c r="I31" s="54"/>
      <c r="J31" s="54"/>
      <c r="K31" s="54"/>
    </row>
    <row r="32" spans="1:11" ht="18" customHeight="1" x14ac:dyDescent="0.25">
      <c r="A32" s="54"/>
      <c r="B32" s="1524" t="s">
        <v>1631</v>
      </c>
      <c r="C32" s="1524"/>
      <c r="D32" s="1524"/>
      <c r="E32" s="555"/>
      <c r="F32" s="54"/>
      <c r="G32" s="54"/>
      <c r="H32" s="54"/>
      <c r="I32" s="54"/>
      <c r="J32" s="54"/>
      <c r="K32" s="54"/>
    </row>
    <row r="33" spans="1:11" ht="18" customHeight="1" x14ac:dyDescent="0.25">
      <c r="A33" s="54"/>
      <c r="B33" s="1524" t="s">
        <v>1630</v>
      </c>
      <c r="C33" s="1524"/>
      <c r="D33" s="1524"/>
      <c r="E33" s="555"/>
      <c r="F33" s="54"/>
      <c r="G33" s="54"/>
      <c r="H33" s="54"/>
      <c r="I33" s="54"/>
      <c r="J33" s="54"/>
      <c r="K33" s="54"/>
    </row>
    <row r="34" spans="1:11" ht="18" customHeight="1" x14ac:dyDescent="0.25">
      <c r="A34" s="54"/>
      <c r="B34" s="1524" t="s">
        <v>1629</v>
      </c>
      <c r="C34" s="1524"/>
      <c r="D34" s="1524"/>
      <c r="E34" s="555"/>
      <c r="F34" s="54"/>
      <c r="G34" s="54"/>
      <c r="H34" s="54"/>
      <c r="I34" s="54"/>
      <c r="J34" s="54"/>
      <c r="K34" s="54"/>
    </row>
    <row r="35" spans="1:11" ht="18" customHeight="1" x14ac:dyDescent="0.25">
      <c r="A35" s="54"/>
      <c r="B35" s="1524" t="s">
        <v>1628</v>
      </c>
      <c r="C35" s="1524"/>
      <c r="D35" s="1524"/>
      <c r="E35" s="556"/>
      <c r="F35" s="54"/>
      <c r="G35" s="54"/>
      <c r="H35" s="54"/>
      <c r="I35" s="54"/>
      <c r="J35" s="54"/>
      <c r="K35" s="54"/>
    </row>
    <row r="36" spans="1:11" ht="27.75" customHeight="1" x14ac:dyDescent="0.25">
      <c r="A36" s="54"/>
      <c r="B36" s="1524" t="s">
        <v>1627</v>
      </c>
      <c r="C36" s="1524"/>
      <c r="D36" s="1524"/>
      <c r="E36" s="1737"/>
      <c r="F36" s="1774"/>
      <c r="G36" s="1738"/>
      <c r="H36" s="54"/>
      <c r="I36" s="54"/>
      <c r="J36" s="54"/>
      <c r="K36" s="54"/>
    </row>
    <row r="37" spans="1:11" ht="16.5" customHeight="1" x14ac:dyDescent="0.25">
      <c r="A37" s="54"/>
      <c r="B37" s="54"/>
      <c r="C37" s="54"/>
      <c r="D37" s="54"/>
      <c r="E37" s="54"/>
      <c r="F37" s="54"/>
      <c r="G37" s="54"/>
      <c r="H37" s="54"/>
      <c r="I37" s="54"/>
      <c r="J37" s="54"/>
      <c r="K37" s="54"/>
    </row>
    <row r="38" spans="1:11" ht="19.5" customHeight="1" x14ac:dyDescent="0.25">
      <c r="A38" s="54"/>
      <c r="B38" s="1746" t="s">
        <v>1072</v>
      </c>
      <c r="C38" s="1747"/>
      <c r="D38" s="1747"/>
      <c r="E38" s="182" t="str">
        <f>IF(COUNTIF(E31:E36,"")=0,"Yes","No")</f>
        <v>No</v>
      </c>
      <c r="F38" s="54"/>
      <c r="G38" s="54"/>
      <c r="H38" s="54"/>
      <c r="I38" s="54"/>
      <c r="J38" s="54"/>
      <c r="K38" s="54"/>
    </row>
    <row r="39" spans="1:11" ht="19.5" customHeight="1" x14ac:dyDescent="0.25">
      <c r="A39" s="54"/>
      <c r="B39" s="54"/>
      <c r="C39" s="54"/>
      <c r="D39" s="54"/>
      <c r="E39" s="54"/>
      <c r="F39" s="54"/>
      <c r="G39" s="54"/>
      <c r="H39" s="54"/>
      <c r="I39" s="54"/>
      <c r="J39" s="54"/>
      <c r="K39" s="54"/>
    </row>
    <row r="40" spans="1:11" ht="16.5" customHeight="1" x14ac:dyDescent="0.25">
      <c r="A40" s="1684" t="s">
        <v>200</v>
      </c>
      <c r="B40" s="1684"/>
      <c r="C40" s="1684"/>
      <c r="D40" s="54"/>
      <c r="E40" s="54"/>
      <c r="F40" s="54"/>
      <c r="G40" s="54"/>
      <c r="H40" s="54"/>
      <c r="I40" s="54"/>
      <c r="J40" s="54"/>
      <c r="K40" s="54"/>
    </row>
    <row r="41" spans="1:11" x14ac:dyDescent="0.25">
      <c r="A41" s="54"/>
      <c r="B41" s="54"/>
      <c r="C41" s="54"/>
      <c r="D41" s="54"/>
      <c r="E41" s="54"/>
      <c r="F41" s="54"/>
      <c r="G41" s="54"/>
      <c r="H41" s="54"/>
      <c r="I41" s="54"/>
      <c r="J41" s="54"/>
      <c r="K41" s="54"/>
    </row>
    <row r="42" spans="1:11" ht="18" customHeight="1" x14ac:dyDescent="0.25">
      <c r="A42" s="53"/>
      <c r="B42" s="1714" t="s">
        <v>2103</v>
      </c>
      <c r="C42" s="1715"/>
      <c r="D42" s="1715"/>
      <c r="E42" s="1715"/>
      <c r="F42" s="1715"/>
      <c r="G42" s="1046" t="s">
        <v>2101</v>
      </c>
      <c r="H42" s="1716" t="s">
        <v>2102</v>
      </c>
      <c r="I42" s="1717"/>
      <c r="J42" s="53"/>
      <c r="K42" s="53"/>
    </row>
    <row r="43" spans="1:11" ht="30" customHeight="1" x14ac:dyDescent="0.25">
      <c r="A43" s="53"/>
      <c r="B43" s="1436" t="s">
        <v>1865</v>
      </c>
      <c r="C43" s="1437"/>
      <c r="D43" s="1437"/>
      <c r="E43" s="1437"/>
      <c r="F43" s="1437"/>
      <c r="G43" s="554" t="s">
        <v>129</v>
      </c>
      <c r="H43" s="1441"/>
      <c r="I43" s="1442"/>
      <c r="J43" s="53"/>
      <c r="K43" s="53"/>
    </row>
    <row r="44" spans="1:11" ht="21" customHeight="1" x14ac:dyDescent="0.25">
      <c r="A44" s="53"/>
      <c r="B44" s="1436" t="s">
        <v>1429</v>
      </c>
      <c r="C44" s="1437"/>
      <c r="D44" s="1437"/>
      <c r="E44" s="1437"/>
      <c r="F44" s="1437"/>
      <c r="G44" s="554" t="s">
        <v>129</v>
      </c>
      <c r="H44" s="1441"/>
      <c r="I44" s="1442"/>
      <c r="J44" s="53"/>
      <c r="K44" s="53"/>
    </row>
    <row r="45" spans="1:11" ht="18.75" customHeight="1" x14ac:dyDescent="0.25">
      <c r="A45" s="54"/>
      <c r="B45" s="54"/>
      <c r="C45" s="54"/>
      <c r="D45" s="54"/>
      <c r="E45" s="54"/>
      <c r="F45" s="54"/>
      <c r="G45" s="54"/>
      <c r="H45" s="54"/>
      <c r="I45" s="54"/>
      <c r="J45" s="54"/>
      <c r="K45" s="54"/>
    </row>
    <row r="46" spans="1:11" ht="16.5" customHeight="1" x14ac:dyDescent="0.25">
      <c r="A46" s="1684" t="s">
        <v>25</v>
      </c>
      <c r="B46" s="1684"/>
      <c r="C46" s="1684"/>
      <c r="D46" s="54"/>
      <c r="E46" s="54"/>
      <c r="F46" s="54"/>
      <c r="G46" s="54"/>
      <c r="H46" s="54"/>
      <c r="I46" s="54"/>
      <c r="J46" s="54"/>
      <c r="K46" s="54"/>
    </row>
    <row r="47" spans="1:11" x14ac:dyDescent="0.25">
      <c r="A47" s="54"/>
      <c r="B47" s="54"/>
      <c r="C47" s="54"/>
      <c r="D47" s="54"/>
      <c r="E47" s="54"/>
      <c r="F47" s="54"/>
      <c r="G47" s="53"/>
      <c r="H47" s="53"/>
      <c r="I47" s="53"/>
      <c r="J47" s="53"/>
      <c r="K47" s="53"/>
    </row>
    <row r="48" spans="1:11" ht="18.75" customHeight="1" x14ac:dyDescent="0.25">
      <c r="A48" s="54"/>
      <c r="B48" s="208" t="s">
        <v>56</v>
      </c>
      <c r="C48" s="1193">
        <f>IF(E38="Yes",1,0)</f>
        <v>0</v>
      </c>
      <c r="D48" s="54"/>
      <c r="E48" s="54"/>
      <c r="F48" s="54"/>
      <c r="G48" s="54"/>
      <c r="H48" s="54"/>
      <c r="I48" s="54"/>
      <c r="J48" s="54"/>
      <c r="K48" s="54"/>
    </row>
    <row r="49" spans="1:16" ht="18.75" customHeight="1" x14ac:dyDescent="0.25">
      <c r="A49" s="54"/>
      <c r="B49" s="208" t="s">
        <v>521</v>
      </c>
      <c r="C49" s="1193" t="str">
        <f>IF(AND(COUNTIF(G43:G44,"Submitted")=2,C48&gt;0),"Yes","No")</f>
        <v>No</v>
      </c>
      <c r="D49" s="54"/>
      <c r="E49" s="54"/>
      <c r="F49" s="54"/>
      <c r="G49" s="54"/>
      <c r="H49" s="54"/>
      <c r="I49" s="54"/>
      <c r="J49" s="54"/>
      <c r="K49" s="54"/>
    </row>
    <row r="50" spans="1:16" ht="19.5" customHeight="1" x14ac:dyDescent="0.25">
      <c r="A50" s="54"/>
      <c r="B50" s="54"/>
      <c r="C50" s="54"/>
      <c r="D50" s="54"/>
      <c r="E50" s="54"/>
      <c r="F50" s="54"/>
      <c r="G50" s="54"/>
      <c r="H50" s="54"/>
      <c r="I50" s="54"/>
      <c r="J50" s="54"/>
      <c r="K50" s="54"/>
    </row>
    <row r="51" spans="1:16" ht="18" customHeight="1" x14ac:dyDescent="0.25">
      <c r="A51" s="1718" t="s">
        <v>673</v>
      </c>
      <c r="B51" s="1718"/>
      <c r="C51" s="1718"/>
      <c r="D51" s="1718"/>
      <c r="E51" s="1718"/>
      <c r="F51" s="1718"/>
      <c r="G51" s="1718"/>
      <c r="H51" s="1718"/>
      <c r="I51" s="1718"/>
      <c r="J51" s="1718"/>
      <c r="K51" s="1718"/>
      <c r="L51" s="1718"/>
      <c r="M51" s="1718"/>
      <c r="N51" s="1718"/>
      <c r="O51" s="1718"/>
      <c r="P51" s="1718"/>
    </row>
    <row r="52" spans="1:16" x14ac:dyDescent="0.25">
      <c r="A52" s="54"/>
      <c r="B52" s="54"/>
      <c r="C52" s="54"/>
      <c r="D52" s="54"/>
      <c r="E52" s="54"/>
      <c r="F52" s="54"/>
      <c r="G52" s="54"/>
      <c r="H52" s="54"/>
      <c r="I52" s="54"/>
      <c r="J52" s="54"/>
      <c r="K52" s="54"/>
    </row>
    <row r="53" spans="1:16" ht="16.5" customHeight="1" x14ac:dyDescent="0.25">
      <c r="A53" s="1684" t="s">
        <v>265</v>
      </c>
      <c r="B53" s="1684"/>
      <c r="C53" s="1684"/>
      <c r="D53" s="54"/>
      <c r="E53" s="54"/>
      <c r="F53" s="54"/>
      <c r="G53" s="54"/>
      <c r="H53" s="54"/>
      <c r="I53" s="54"/>
      <c r="J53" s="54"/>
      <c r="K53" s="54"/>
    </row>
    <row r="54" spans="1:16" x14ac:dyDescent="0.25">
      <c r="A54" s="54"/>
      <c r="B54" s="207"/>
      <c r="C54" s="54"/>
      <c r="D54" s="54"/>
      <c r="E54" s="54"/>
      <c r="F54" s="54"/>
      <c r="G54" s="54"/>
      <c r="H54" s="54"/>
      <c r="I54" s="54"/>
      <c r="J54" s="54"/>
      <c r="K54" s="54"/>
    </row>
    <row r="55" spans="1:16" x14ac:dyDescent="0.25">
      <c r="A55" s="54"/>
      <c r="B55" s="649" t="s">
        <v>947</v>
      </c>
      <c r="C55" s="54"/>
      <c r="D55" s="54"/>
      <c r="E55" s="54"/>
      <c r="F55" s="54"/>
      <c r="G55" s="54"/>
      <c r="H55" s="54"/>
      <c r="I55" s="54"/>
      <c r="J55" s="54"/>
      <c r="K55" s="54"/>
    </row>
    <row r="56" spans="1:16" ht="18" customHeight="1" x14ac:dyDescent="0.25">
      <c r="A56" s="54"/>
      <c r="B56" s="54"/>
      <c r="C56" s="54"/>
      <c r="D56" s="54"/>
      <c r="E56" s="54"/>
      <c r="F56" s="54"/>
      <c r="G56" s="54"/>
      <c r="H56" s="54"/>
      <c r="I56" s="54"/>
      <c r="J56" s="54"/>
      <c r="K56" s="54"/>
    </row>
    <row r="57" spans="1:16" x14ac:dyDescent="0.25">
      <c r="A57" s="54"/>
      <c r="B57" s="717" t="s">
        <v>1487</v>
      </c>
      <c r="C57" s="54"/>
      <c r="D57" s="54"/>
      <c r="E57" s="54"/>
      <c r="F57" s="54"/>
      <c r="G57" s="54"/>
      <c r="H57" s="54"/>
      <c r="I57" s="54"/>
      <c r="J57" s="54"/>
      <c r="K57" s="54"/>
    </row>
    <row r="58" spans="1:16" ht="9.75" customHeight="1" x14ac:dyDescent="0.25">
      <c r="A58" s="54"/>
      <c r="B58" s="54"/>
      <c r="C58" s="54"/>
      <c r="D58" s="54"/>
      <c r="E58" s="54"/>
      <c r="F58" s="54"/>
      <c r="G58" s="54"/>
      <c r="H58" s="54"/>
      <c r="I58" s="54"/>
      <c r="J58" s="54"/>
      <c r="K58" s="54"/>
    </row>
    <row r="59" spans="1:16" ht="18" customHeight="1" x14ac:dyDescent="0.25">
      <c r="A59" s="54"/>
      <c r="B59" s="1524" t="s">
        <v>1617</v>
      </c>
      <c r="C59" s="1524"/>
      <c r="D59" s="1524"/>
      <c r="E59" s="1470" t="s">
        <v>129</v>
      </c>
      <c r="F59" s="1470"/>
      <c r="G59" s="54"/>
      <c r="H59" s="54"/>
      <c r="I59" s="54"/>
      <c r="J59" s="54"/>
      <c r="K59" s="54"/>
    </row>
    <row r="60" spans="1:16" ht="18" customHeight="1" x14ac:dyDescent="0.25">
      <c r="A60" s="54"/>
      <c r="B60" s="1524" t="s">
        <v>1618</v>
      </c>
      <c r="C60" s="1524"/>
      <c r="D60" s="1524"/>
      <c r="E60" s="1470" t="s">
        <v>129</v>
      </c>
      <c r="F60" s="1470"/>
      <c r="G60" s="54"/>
      <c r="H60" s="54"/>
      <c r="I60" s="54"/>
      <c r="J60" s="54"/>
      <c r="K60" s="54"/>
    </row>
    <row r="61" spans="1:16" ht="18" customHeight="1" x14ac:dyDescent="0.25">
      <c r="A61" s="54"/>
      <c r="B61" s="1779" t="s">
        <v>1619</v>
      </c>
      <c r="C61" s="1779"/>
      <c r="D61" s="1779"/>
      <c r="E61" s="557"/>
      <c r="F61" s="54"/>
      <c r="G61" s="54"/>
      <c r="H61" s="54"/>
      <c r="I61" s="54"/>
      <c r="J61" s="54"/>
      <c r="K61" s="54"/>
    </row>
    <row r="62" spans="1:16" ht="18" customHeight="1" x14ac:dyDescent="0.25">
      <c r="A62" s="54"/>
      <c r="B62" s="1436" t="s">
        <v>1620</v>
      </c>
      <c r="C62" s="1437"/>
      <c r="D62" s="1438"/>
      <c r="E62" s="729"/>
      <c r="F62" s="54"/>
      <c r="G62" s="54"/>
      <c r="H62" s="54"/>
      <c r="I62" s="54"/>
      <c r="J62" s="54"/>
      <c r="K62" s="54"/>
    </row>
    <row r="63" spans="1:16" ht="18" customHeight="1" x14ac:dyDescent="0.25">
      <c r="A63" s="54"/>
      <c r="B63" s="54"/>
      <c r="C63" s="54"/>
      <c r="D63" s="54"/>
      <c r="E63" s="54"/>
      <c r="F63" s="54"/>
      <c r="G63" s="54"/>
      <c r="H63" s="54"/>
      <c r="I63" s="54"/>
      <c r="J63" s="54"/>
      <c r="K63" s="54"/>
    </row>
    <row r="64" spans="1:16" ht="18" customHeight="1" x14ac:dyDescent="0.25">
      <c r="A64" s="54"/>
      <c r="B64" s="1746" t="s">
        <v>1911</v>
      </c>
      <c r="C64" s="1747"/>
      <c r="D64" s="1747"/>
      <c r="E64" s="182" t="str">
        <f>IF(OR(E60="Irrigation",E60="irrigation and WC flushing"),IF(AND(E59&lt;&gt;"Select",E59&lt;&gt;"",E60&lt;&gt;"Select",E60&lt;&gt;"",E61&lt;&gt;"",E62&lt;&gt;"",E61&gt;=E62),"Yes","No"),"No")</f>
        <v>No</v>
      </c>
      <c r="F64" s="54"/>
      <c r="G64" s="54"/>
      <c r="H64" s="54"/>
      <c r="I64" s="54"/>
      <c r="J64" s="54"/>
      <c r="K64" s="54"/>
    </row>
    <row r="65" spans="1:16" ht="18" customHeight="1" x14ac:dyDescent="0.25">
      <c r="A65" s="54"/>
      <c r="B65" s="1746" t="s">
        <v>1912</v>
      </c>
      <c r="C65" s="1747"/>
      <c r="D65" s="1747"/>
      <c r="E65" s="182" t="str">
        <f>IF(OR(E60="WC flushing",E60="irrigation and WC flushing"),IF(AND(E59&lt;&gt;"Select",E59&lt;&gt;"",E60&lt;&gt;"Select",E60&lt;&gt;"",E61&lt;&gt;"",E62&lt;&gt;"",E61&gt;=E62),"Yes","No"),"No")</f>
        <v>No</v>
      </c>
      <c r="F65" s="54"/>
      <c r="G65" s="54"/>
      <c r="H65" s="54"/>
      <c r="I65" s="54"/>
      <c r="J65" s="54"/>
      <c r="K65" s="54"/>
    </row>
    <row r="66" spans="1:16" ht="18.75" customHeight="1" x14ac:dyDescent="0.25">
      <c r="A66" s="54"/>
      <c r="B66" s="54"/>
      <c r="C66" s="54"/>
      <c r="D66" s="54"/>
      <c r="E66" s="54"/>
      <c r="F66" s="54"/>
      <c r="G66" s="54"/>
      <c r="H66" s="54"/>
      <c r="I66" s="54"/>
      <c r="J66" s="54"/>
      <c r="K66" s="54"/>
    </row>
    <row r="67" spans="1:16" ht="16.5" customHeight="1" x14ac:dyDescent="0.25">
      <c r="A67" s="1684" t="s">
        <v>200</v>
      </c>
      <c r="B67" s="1684"/>
      <c r="C67" s="1684"/>
      <c r="D67" s="54"/>
      <c r="E67" s="54"/>
      <c r="F67" s="54"/>
      <c r="G67" s="54"/>
      <c r="H67" s="54"/>
      <c r="I67" s="54"/>
      <c r="J67" s="54"/>
      <c r="K67" s="54"/>
    </row>
    <row r="68" spans="1:16" x14ac:dyDescent="0.25">
      <c r="A68" s="54"/>
      <c r="B68" s="54"/>
      <c r="C68" s="54"/>
      <c r="D68" s="54"/>
      <c r="E68" s="54"/>
      <c r="F68" s="54"/>
      <c r="G68" s="54"/>
      <c r="H68" s="54"/>
      <c r="I68" s="54"/>
      <c r="J68" s="54"/>
      <c r="K68" s="54"/>
    </row>
    <row r="69" spans="1:16" ht="18" customHeight="1" x14ac:dyDescent="0.25">
      <c r="A69" s="53"/>
      <c r="B69" s="1714" t="s">
        <v>2103</v>
      </c>
      <c r="C69" s="1715"/>
      <c r="D69" s="1715"/>
      <c r="E69" s="1715"/>
      <c r="F69" s="1715"/>
      <c r="G69" s="1046" t="s">
        <v>2101</v>
      </c>
      <c r="H69" s="1716" t="s">
        <v>2102</v>
      </c>
      <c r="I69" s="1717"/>
      <c r="J69" s="53"/>
      <c r="K69" s="53"/>
    </row>
    <row r="70" spans="1:16" ht="30" customHeight="1" x14ac:dyDescent="0.25">
      <c r="A70" s="53"/>
      <c r="B70" s="1436" t="s">
        <v>1633</v>
      </c>
      <c r="C70" s="1437"/>
      <c r="D70" s="1437"/>
      <c r="E70" s="1437"/>
      <c r="F70" s="1437"/>
      <c r="G70" s="1044" t="s">
        <v>129</v>
      </c>
      <c r="H70" s="1441"/>
      <c r="I70" s="1442"/>
      <c r="J70" s="53"/>
      <c r="K70" s="53"/>
    </row>
    <row r="71" spans="1:16" ht="24" customHeight="1" x14ac:dyDescent="0.25">
      <c r="A71" s="53"/>
      <c r="B71" s="1436" t="s">
        <v>1429</v>
      </c>
      <c r="C71" s="1437"/>
      <c r="D71" s="1437"/>
      <c r="E71" s="1437"/>
      <c r="F71" s="1437"/>
      <c r="G71" s="554" t="s">
        <v>129</v>
      </c>
      <c r="H71" s="1441"/>
      <c r="I71" s="1442"/>
      <c r="J71" s="53"/>
      <c r="K71" s="53"/>
    </row>
    <row r="72" spans="1:16" ht="18" customHeight="1" x14ac:dyDescent="0.25">
      <c r="A72" s="54"/>
      <c r="B72" s="54"/>
      <c r="C72" s="54"/>
      <c r="D72" s="54"/>
      <c r="E72" s="54"/>
      <c r="F72" s="54"/>
      <c r="G72" s="54"/>
      <c r="H72" s="54"/>
      <c r="I72" s="54"/>
      <c r="J72" s="54"/>
      <c r="K72" s="54"/>
    </row>
    <row r="73" spans="1:16" ht="16.5" customHeight="1" x14ac:dyDescent="0.25">
      <c r="A73" s="1684" t="s">
        <v>25</v>
      </c>
      <c r="B73" s="1684"/>
      <c r="C73" s="1684"/>
      <c r="D73" s="54"/>
      <c r="E73" s="54"/>
      <c r="F73" s="54"/>
      <c r="G73" s="54"/>
      <c r="H73" s="54"/>
      <c r="I73" s="54"/>
      <c r="J73" s="54"/>
      <c r="K73" s="54"/>
    </row>
    <row r="74" spans="1:16" x14ac:dyDescent="0.25">
      <c r="A74" s="54"/>
      <c r="B74" s="54"/>
      <c r="C74" s="54"/>
      <c r="D74" s="54"/>
      <c r="E74" s="54"/>
      <c r="F74" s="54"/>
      <c r="G74" s="53"/>
      <c r="H74" s="53"/>
      <c r="I74" s="53"/>
      <c r="J74" s="53"/>
      <c r="K74" s="53"/>
    </row>
    <row r="75" spans="1:16" ht="18" customHeight="1" x14ac:dyDescent="0.25">
      <c r="A75" s="54"/>
      <c r="B75" s="208" t="s">
        <v>56</v>
      </c>
      <c r="C75" s="1193">
        <f>IF(AND(E65="Yes",E64="Yes"),2,IF(OR(E65="Yes",E64="Yes"),1,0))</f>
        <v>0</v>
      </c>
      <c r="D75" s="54"/>
      <c r="E75" s="54"/>
      <c r="F75" s="54"/>
      <c r="G75" s="54"/>
      <c r="H75" s="54"/>
      <c r="I75" s="54"/>
      <c r="J75" s="54"/>
      <c r="K75" s="54"/>
    </row>
    <row r="76" spans="1:16" ht="18" customHeight="1" x14ac:dyDescent="0.25">
      <c r="A76" s="54"/>
      <c r="B76" s="208" t="s">
        <v>521</v>
      </c>
      <c r="C76" s="1193" t="str">
        <f>IF(AND(COUNTIF(G70:G71,"Submitted")=2,C75&gt;0),"Yes","No")</f>
        <v>No</v>
      </c>
      <c r="D76" s="54"/>
      <c r="E76" s="54"/>
      <c r="F76" s="54"/>
      <c r="G76" s="54"/>
      <c r="H76" s="54"/>
      <c r="I76" s="54"/>
      <c r="J76" s="54"/>
      <c r="K76" s="54"/>
    </row>
    <row r="77" spans="1:16" ht="21.75" customHeight="1" x14ac:dyDescent="0.25">
      <c r="A77" s="54"/>
      <c r="B77" s="54"/>
      <c r="C77" s="54"/>
      <c r="D77" s="54"/>
      <c r="E77" s="54"/>
      <c r="F77" s="54"/>
      <c r="G77" s="54"/>
      <c r="H77" s="54"/>
      <c r="I77" s="54"/>
      <c r="J77" s="54"/>
      <c r="K77" s="54"/>
    </row>
    <row r="78" spans="1:16" ht="18.75" customHeight="1" x14ac:dyDescent="0.25">
      <c r="A78" s="1718" t="s">
        <v>674</v>
      </c>
      <c r="B78" s="1718"/>
      <c r="C78" s="1718"/>
      <c r="D78" s="1718"/>
      <c r="E78" s="1718"/>
      <c r="F78" s="1718"/>
      <c r="G78" s="1718"/>
      <c r="H78" s="1718"/>
      <c r="I78" s="1718"/>
      <c r="J78" s="1718"/>
      <c r="K78" s="1718"/>
      <c r="L78" s="1718"/>
      <c r="M78" s="1718"/>
      <c r="N78" s="1718"/>
      <c r="O78" s="1718"/>
      <c r="P78" s="1718"/>
    </row>
    <row r="79" spans="1:16" x14ac:dyDescent="0.25">
      <c r="A79" s="54"/>
      <c r="B79" s="54"/>
      <c r="C79" s="54"/>
      <c r="D79" s="54"/>
      <c r="E79" s="54"/>
      <c r="F79" s="54"/>
      <c r="G79" s="54"/>
      <c r="H79" s="54"/>
      <c r="I79" s="54"/>
      <c r="J79" s="54"/>
      <c r="K79" s="54"/>
    </row>
    <row r="80" spans="1:16" ht="16.5" customHeight="1" x14ac:dyDescent="0.25">
      <c r="A80" s="1684" t="s">
        <v>265</v>
      </c>
      <c r="B80" s="1684"/>
      <c r="C80" s="1684"/>
      <c r="D80" s="54"/>
      <c r="E80" s="54"/>
      <c r="F80" s="54"/>
      <c r="G80" s="54"/>
      <c r="H80" s="54"/>
      <c r="I80" s="54"/>
      <c r="J80" s="54"/>
      <c r="K80" s="54"/>
    </row>
    <row r="81" spans="1:11" x14ac:dyDescent="0.25">
      <c r="A81" s="54"/>
      <c r="B81" s="207"/>
      <c r="C81" s="54"/>
      <c r="D81" s="54"/>
      <c r="E81" s="54"/>
      <c r="F81" s="54"/>
      <c r="G81" s="54"/>
      <c r="H81" s="54"/>
      <c r="I81" s="54"/>
      <c r="J81" s="54"/>
      <c r="K81" s="54"/>
    </row>
    <row r="82" spans="1:11" x14ac:dyDescent="0.25">
      <c r="A82" s="54"/>
      <c r="B82" s="801" t="s">
        <v>919</v>
      </c>
      <c r="C82" s="638"/>
      <c r="D82" s="638"/>
      <c r="E82" s="638"/>
      <c r="F82" s="638"/>
      <c r="G82" s="638"/>
      <c r="H82" s="638"/>
      <c r="I82" s="639"/>
      <c r="J82" s="54"/>
      <c r="K82" s="54"/>
    </row>
    <row r="83" spans="1:11" x14ac:dyDescent="0.25">
      <c r="A83" s="54"/>
      <c r="B83" s="713" t="s">
        <v>1621</v>
      </c>
      <c r="C83" s="635"/>
      <c r="D83" s="635"/>
      <c r="E83" s="635"/>
      <c r="F83" s="635"/>
      <c r="G83" s="635"/>
      <c r="H83" s="635"/>
      <c r="I83" s="641"/>
      <c r="J83" s="54"/>
      <c r="K83" s="54"/>
    </row>
    <row r="84" spans="1:11" ht="15" customHeight="1" x14ac:dyDescent="0.25">
      <c r="A84" s="54"/>
      <c r="B84" s="1784" t="s">
        <v>1622</v>
      </c>
      <c r="C84" s="1785"/>
      <c r="D84" s="1785"/>
      <c r="E84" s="1785"/>
      <c r="F84" s="1785"/>
      <c r="G84" s="1785"/>
      <c r="H84" s="1785"/>
      <c r="I84" s="1786"/>
      <c r="J84" s="54"/>
      <c r="K84" s="54"/>
    </row>
    <row r="85" spans="1:11" x14ac:dyDescent="0.25">
      <c r="A85" s="54"/>
      <c r="B85" s="1784"/>
      <c r="C85" s="1785"/>
      <c r="D85" s="1785"/>
      <c r="E85" s="1785"/>
      <c r="F85" s="1785"/>
      <c r="G85" s="1785"/>
      <c r="H85" s="1785"/>
      <c r="I85" s="1786"/>
      <c r="J85" s="54"/>
      <c r="K85" s="54"/>
    </row>
    <row r="86" spans="1:11" x14ac:dyDescent="0.25">
      <c r="A86" s="54"/>
      <c r="B86" s="713" t="s">
        <v>1623</v>
      </c>
      <c r="C86" s="635"/>
      <c r="D86" s="635"/>
      <c r="E86" s="635"/>
      <c r="F86" s="635"/>
      <c r="G86" s="635"/>
      <c r="H86" s="635"/>
      <c r="I86" s="641"/>
      <c r="J86" s="54"/>
      <c r="K86" s="54"/>
    </row>
    <row r="87" spans="1:11" x14ac:dyDescent="0.25">
      <c r="A87" s="54"/>
      <c r="B87" s="714" t="s">
        <v>1624</v>
      </c>
      <c r="C87" s="643"/>
      <c r="D87" s="643"/>
      <c r="E87" s="643"/>
      <c r="F87" s="643"/>
      <c r="G87" s="643"/>
      <c r="H87" s="643"/>
      <c r="I87" s="644"/>
      <c r="J87" s="54"/>
      <c r="K87" s="54"/>
    </row>
    <row r="88" spans="1:11" ht="18.75" customHeight="1" x14ac:dyDescent="0.25">
      <c r="A88" s="54"/>
      <c r="B88" s="207"/>
      <c r="C88" s="54"/>
      <c r="D88" s="54"/>
      <c r="E88" s="54"/>
      <c r="F88" s="54"/>
      <c r="G88" s="54"/>
      <c r="H88" s="54"/>
      <c r="I88" s="54"/>
      <c r="J88" s="54"/>
      <c r="K88" s="54"/>
    </row>
    <row r="89" spans="1:11" x14ac:dyDescent="0.25">
      <c r="A89" s="54"/>
      <c r="B89" s="1411" t="s">
        <v>1430</v>
      </c>
      <c r="C89" s="1645"/>
      <c r="D89" s="1645"/>
      <c r="E89" s="1645"/>
      <c r="F89" s="1645"/>
      <c r="G89" s="54"/>
      <c r="H89" s="54"/>
      <c r="I89" s="54"/>
      <c r="J89" s="54"/>
      <c r="K89" s="54"/>
    </row>
    <row r="90" spans="1:11" ht="9" customHeight="1" x14ac:dyDescent="0.25">
      <c r="A90" s="54"/>
      <c r="B90" s="207"/>
      <c r="C90" s="54"/>
      <c r="D90" s="54"/>
      <c r="E90" s="54"/>
      <c r="F90" s="54"/>
      <c r="G90" s="54"/>
      <c r="H90" s="54"/>
      <c r="I90" s="54"/>
      <c r="J90" s="54"/>
      <c r="K90" s="54"/>
    </row>
    <row r="91" spans="1:11" ht="18" customHeight="1" x14ac:dyDescent="0.25">
      <c r="A91" s="54"/>
      <c r="B91" s="1787" t="s">
        <v>1367</v>
      </c>
      <c r="C91" s="1788"/>
      <c r="D91" s="1788"/>
      <c r="E91" s="1788"/>
      <c r="F91" s="1788"/>
      <c r="G91" s="725" t="s">
        <v>1431</v>
      </c>
      <c r="H91" s="54"/>
      <c r="I91" s="54"/>
      <c r="J91" s="54"/>
      <c r="K91" s="54"/>
    </row>
    <row r="92" spans="1:11" ht="18.75" customHeight="1" x14ac:dyDescent="0.25">
      <c r="A92" s="54"/>
      <c r="B92" s="1779" t="s">
        <v>1073</v>
      </c>
      <c r="C92" s="1779"/>
      <c r="D92" s="1779"/>
      <c r="E92" s="1779"/>
      <c r="F92" s="1779"/>
      <c r="G92" s="733" t="s">
        <v>129</v>
      </c>
      <c r="H92" s="54"/>
      <c r="I92" s="54"/>
      <c r="J92" s="54"/>
      <c r="K92" s="54"/>
    </row>
    <row r="93" spans="1:11" ht="18.75" customHeight="1" x14ac:dyDescent="0.25">
      <c r="A93" s="54"/>
      <c r="B93" s="1524" t="s">
        <v>920</v>
      </c>
      <c r="C93" s="1524"/>
      <c r="D93" s="1524"/>
      <c r="E93" s="1524"/>
      <c r="F93" s="1524"/>
      <c r="G93" s="733" t="s">
        <v>129</v>
      </c>
      <c r="H93" s="54"/>
      <c r="I93" s="54"/>
      <c r="J93" s="54"/>
      <c r="K93" s="54"/>
    </row>
    <row r="94" spans="1:11" ht="27.75" customHeight="1" x14ac:dyDescent="0.25">
      <c r="A94" s="54"/>
      <c r="B94" s="1524" t="s">
        <v>921</v>
      </c>
      <c r="C94" s="1524"/>
      <c r="D94" s="1524"/>
      <c r="E94" s="1524"/>
      <c r="F94" s="1524"/>
      <c r="G94" s="733" t="s">
        <v>129</v>
      </c>
      <c r="H94" s="54"/>
      <c r="I94" s="54"/>
      <c r="J94" s="54"/>
      <c r="K94" s="54"/>
    </row>
    <row r="95" spans="1:11" ht="27.75" customHeight="1" x14ac:dyDescent="0.25">
      <c r="A95" s="54"/>
      <c r="B95" s="1524" t="s">
        <v>923</v>
      </c>
      <c r="C95" s="1524"/>
      <c r="D95" s="1524"/>
      <c r="E95" s="1524"/>
      <c r="F95" s="1524"/>
      <c r="G95" s="733" t="s">
        <v>129</v>
      </c>
      <c r="H95" s="54"/>
      <c r="I95" s="54"/>
      <c r="J95" s="54"/>
      <c r="K95" s="54"/>
    </row>
    <row r="96" spans="1:11" ht="16.5" customHeight="1" x14ac:dyDescent="0.25">
      <c r="A96" s="54"/>
      <c r="B96" s="1780" t="s">
        <v>922</v>
      </c>
      <c r="C96" s="1780"/>
      <c r="D96" s="1780"/>
      <c r="E96" s="1780"/>
      <c r="F96" s="1780"/>
      <c r="G96" s="860" t="s">
        <v>129</v>
      </c>
      <c r="H96" s="54"/>
      <c r="I96" s="54"/>
      <c r="J96" s="54"/>
      <c r="K96" s="54"/>
    </row>
    <row r="97" spans="1:11" ht="40.5" customHeight="1" x14ac:dyDescent="0.25">
      <c r="A97" s="54"/>
      <c r="B97" s="1524" t="s">
        <v>931</v>
      </c>
      <c r="C97" s="1524"/>
      <c r="D97" s="1524"/>
      <c r="E97" s="1781"/>
      <c r="F97" s="1782"/>
      <c r="G97" s="1782"/>
      <c r="H97" s="1782"/>
      <c r="I97" s="1782"/>
      <c r="J97" s="1783"/>
      <c r="K97" s="54"/>
    </row>
    <row r="98" spans="1:11" x14ac:dyDescent="0.25">
      <c r="A98" s="54"/>
      <c r="B98" s="54"/>
      <c r="C98" s="54"/>
      <c r="D98" s="54"/>
      <c r="E98" s="54"/>
      <c r="F98" s="54"/>
      <c r="G98" s="54"/>
      <c r="H98" s="54"/>
      <c r="I98" s="54"/>
      <c r="J98" s="54"/>
      <c r="K98" s="54"/>
    </row>
    <row r="99" spans="1:11" ht="19.5" customHeight="1" x14ac:dyDescent="0.25">
      <c r="A99" s="54"/>
      <c r="B99" s="1746" t="s">
        <v>924</v>
      </c>
      <c r="C99" s="1747"/>
      <c r="D99" s="1747"/>
      <c r="E99" s="182" t="str">
        <f>IF(COUNTIF(G92:G95,"Yes")&gt;=2,"Yes",IF(COUNTIF(G92:G96,"Yes")&gt;=2,IF(E97&lt;&gt;"","Yes","No"),"No"))</f>
        <v>No</v>
      </c>
      <c r="F99" s="54"/>
      <c r="G99" s="54"/>
      <c r="H99" s="54"/>
      <c r="I99" s="54"/>
      <c r="J99" s="54"/>
      <c r="K99" s="54"/>
    </row>
    <row r="100" spans="1:11" ht="18" customHeight="1" x14ac:dyDescent="0.25">
      <c r="A100" s="54"/>
      <c r="B100" s="54"/>
      <c r="C100" s="54"/>
      <c r="D100" s="54"/>
      <c r="E100" s="54"/>
      <c r="F100" s="54"/>
      <c r="G100" s="54"/>
      <c r="H100" s="54"/>
      <c r="I100" s="54"/>
      <c r="J100" s="54"/>
      <c r="K100" s="54"/>
    </row>
    <row r="101" spans="1:11" ht="16.5" customHeight="1" x14ac:dyDescent="0.25">
      <c r="A101" s="1684" t="s">
        <v>200</v>
      </c>
      <c r="B101" s="1684"/>
      <c r="C101" s="1684"/>
      <c r="D101" s="54"/>
      <c r="E101" s="54"/>
      <c r="F101" s="54"/>
      <c r="G101" s="54"/>
      <c r="H101" s="54"/>
      <c r="I101" s="54"/>
      <c r="J101" s="54"/>
      <c r="K101" s="54"/>
    </row>
    <row r="102" spans="1:11" x14ac:dyDescent="0.25">
      <c r="A102" s="54"/>
      <c r="B102" s="54"/>
      <c r="C102" s="54"/>
      <c r="D102" s="54"/>
      <c r="E102" s="54"/>
      <c r="F102" s="54"/>
      <c r="G102" s="54"/>
      <c r="H102" s="54"/>
      <c r="I102" s="54"/>
      <c r="J102" s="54"/>
      <c r="K102" s="54"/>
    </row>
    <row r="103" spans="1:11" ht="18" customHeight="1" x14ac:dyDescent="0.25">
      <c r="A103" s="53"/>
      <c r="B103" s="1714" t="s">
        <v>2103</v>
      </c>
      <c r="C103" s="1715"/>
      <c r="D103" s="1715"/>
      <c r="E103" s="1715"/>
      <c r="F103" s="1715"/>
      <c r="G103" s="1046" t="s">
        <v>2101</v>
      </c>
      <c r="H103" s="1716" t="s">
        <v>2102</v>
      </c>
      <c r="I103" s="1717"/>
      <c r="J103" s="53"/>
      <c r="K103" s="53"/>
    </row>
    <row r="104" spans="1:11" ht="24" customHeight="1" x14ac:dyDescent="0.25">
      <c r="A104" s="53"/>
      <c r="B104" s="1436" t="s">
        <v>1676</v>
      </c>
      <c r="C104" s="1437"/>
      <c r="D104" s="1437"/>
      <c r="E104" s="1437"/>
      <c r="F104" s="1437"/>
      <c r="G104" s="554" t="s">
        <v>129</v>
      </c>
      <c r="H104" s="1441"/>
      <c r="I104" s="1442"/>
      <c r="J104" s="53"/>
      <c r="K104" s="53"/>
    </row>
    <row r="105" spans="1:11" ht="18" customHeight="1" x14ac:dyDescent="0.25">
      <c r="A105" s="54"/>
      <c r="B105" s="54"/>
      <c r="C105" s="54"/>
      <c r="D105" s="54"/>
      <c r="E105" s="54"/>
      <c r="F105" s="54"/>
      <c r="G105" s="54"/>
      <c r="H105" s="54"/>
      <c r="I105" s="54"/>
      <c r="J105" s="54"/>
      <c r="K105" s="54"/>
    </row>
    <row r="106" spans="1:11" ht="16.5" customHeight="1" x14ac:dyDescent="0.25">
      <c r="A106" s="1684" t="s">
        <v>25</v>
      </c>
      <c r="B106" s="1684"/>
      <c r="C106" s="1684"/>
      <c r="D106" s="54"/>
      <c r="E106" s="54"/>
      <c r="F106" s="54"/>
      <c r="G106" s="54"/>
      <c r="H106" s="54"/>
      <c r="I106" s="54"/>
      <c r="J106" s="54"/>
      <c r="K106" s="54"/>
    </row>
    <row r="107" spans="1:11" x14ac:dyDescent="0.25">
      <c r="A107" s="54"/>
      <c r="B107" s="54"/>
      <c r="C107" s="54"/>
      <c r="D107" s="54"/>
      <c r="E107" s="54"/>
      <c r="F107" s="54"/>
      <c r="G107" s="53"/>
      <c r="H107" s="53"/>
      <c r="I107" s="53"/>
      <c r="J107" s="53"/>
      <c r="K107" s="53"/>
    </row>
    <row r="108" spans="1:11" ht="18" customHeight="1" x14ac:dyDescent="0.25">
      <c r="A108" s="54"/>
      <c r="B108" s="208" t="s">
        <v>56</v>
      </c>
      <c r="C108" s="1193">
        <f>IF(E99="Yes",1,0)</f>
        <v>0</v>
      </c>
      <c r="D108" s="54"/>
      <c r="E108" s="54"/>
      <c r="F108" s="54"/>
      <c r="G108" s="54"/>
      <c r="H108" s="54"/>
      <c r="I108" s="54"/>
      <c r="J108" s="54"/>
      <c r="K108" s="54"/>
    </row>
    <row r="109" spans="1:11" ht="18" customHeight="1" x14ac:dyDescent="0.25">
      <c r="A109" s="54"/>
      <c r="B109" s="208" t="s">
        <v>521</v>
      </c>
      <c r="C109" s="1193" t="str">
        <f>IF(AND(COUNTIF(G104:G104,"Submitted")=1,C108&gt;0),"Yes","No")</f>
        <v>No</v>
      </c>
      <c r="D109" s="54"/>
      <c r="E109" s="54"/>
      <c r="F109" s="54"/>
      <c r="G109" s="54"/>
      <c r="H109" s="54"/>
      <c r="I109" s="54"/>
      <c r="J109" s="54"/>
      <c r="K109" s="54"/>
    </row>
    <row r="110" spans="1:11" x14ac:dyDescent="0.25">
      <c r="A110" s="54"/>
      <c r="B110" s="54"/>
      <c r="C110" s="54"/>
      <c r="D110" s="54"/>
      <c r="E110" s="54"/>
      <c r="F110" s="54"/>
      <c r="G110" s="54"/>
      <c r="H110" s="54"/>
      <c r="I110" s="54"/>
      <c r="J110" s="54"/>
      <c r="K110" s="54"/>
    </row>
    <row r="111" spans="1:11" hidden="1" x14ac:dyDescent="0.25"/>
    <row r="112" spans="1:11" hidden="1" x14ac:dyDescent="0.25"/>
    <row r="113" hidden="1" x14ac:dyDescent="0.25"/>
    <row r="114" hidden="1" x14ac:dyDescent="0.25"/>
  </sheetData>
  <sheetProtection algorithmName="SHA-512" hashValue="fKdpxTSGEyxY9OlCpl3ywN5NO5CBNvPfHdQKHfd7Xq48BaXkCeLvLfvBSYEPLhQvRxmEpzC4S3cGzg2jwLBkdA==" saltValue="QbCiX52dcPlb0DAhHNJQDg==" spinCount="100000" sheet="1" objects="1" scenarios="1"/>
  <mergeCells count="64">
    <mergeCell ref="H44:I44"/>
    <mergeCell ref="B103:F103"/>
    <mergeCell ref="H103:I103"/>
    <mergeCell ref="H104:I104"/>
    <mergeCell ref="H69:I69"/>
    <mergeCell ref="B70:F70"/>
    <mergeCell ref="H70:I70"/>
    <mergeCell ref="E97:J97"/>
    <mergeCell ref="B84:I85"/>
    <mergeCell ref="B92:F92"/>
    <mergeCell ref="B93:F93"/>
    <mergeCell ref="B94:F94"/>
    <mergeCell ref="B95:F95"/>
    <mergeCell ref="B89:F89"/>
    <mergeCell ref="B91:F91"/>
    <mergeCell ref="B64:D64"/>
    <mergeCell ref="A106:C106"/>
    <mergeCell ref="B97:D97"/>
    <mergeCell ref="B99:D99"/>
    <mergeCell ref="A101:C101"/>
    <mergeCell ref="B96:F96"/>
    <mergeCell ref="B104:F104"/>
    <mergeCell ref="A80:C80"/>
    <mergeCell ref="A67:C67"/>
    <mergeCell ref="B60:D60"/>
    <mergeCell ref="B61:D61"/>
    <mergeCell ref="B62:D62"/>
    <mergeCell ref="B65:D65"/>
    <mergeCell ref="B69:F69"/>
    <mergeCell ref="B71:F71"/>
    <mergeCell ref="A1:F1"/>
    <mergeCell ref="B10:F10"/>
    <mergeCell ref="B11:F11"/>
    <mergeCell ref="B12:F12"/>
    <mergeCell ref="A18:C18"/>
    <mergeCell ref="I2:J4"/>
    <mergeCell ref="E36:G36"/>
    <mergeCell ref="B38:D38"/>
    <mergeCell ref="B13:F13"/>
    <mergeCell ref="A40:C40"/>
    <mergeCell ref="B31:D31"/>
    <mergeCell ref="B32:D32"/>
    <mergeCell ref="B33:D33"/>
    <mergeCell ref="B34:D34"/>
    <mergeCell ref="B35:D35"/>
    <mergeCell ref="B36:D36"/>
    <mergeCell ref="A5:L6"/>
    <mergeCell ref="B14:F14"/>
    <mergeCell ref="H42:I42"/>
    <mergeCell ref="A8:P8"/>
    <mergeCell ref="A16:P16"/>
    <mergeCell ref="A51:P51"/>
    <mergeCell ref="A78:P78"/>
    <mergeCell ref="B59:D59"/>
    <mergeCell ref="E59:F59"/>
    <mergeCell ref="A46:C46"/>
    <mergeCell ref="A53:C53"/>
    <mergeCell ref="B42:F42"/>
    <mergeCell ref="E60:F60"/>
    <mergeCell ref="A73:C73"/>
    <mergeCell ref="H71:I71"/>
    <mergeCell ref="B43:F43"/>
    <mergeCell ref="B44:F44"/>
    <mergeCell ref="H43:I43"/>
  </mergeCells>
  <conditionalFormatting sqref="G11:G13 B11:B13">
    <cfRule type="expression" dxfId="210" priority="34">
      <formula>OR(#REF!="No",#REF!="Không")</formula>
    </cfRule>
  </conditionalFormatting>
  <conditionalFormatting sqref="H11:H13">
    <cfRule type="expression" dxfId="209" priority="32">
      <formula>OR($D11="No",$D11="Không")</formula>
    </cfRule>
    <cfRule type="expression" dxfId="208" priority="33">
      <formula>OR(#REF!="No",#REF!="Không")</formula>
    </cfRule>
  </conditionalFormatting>
  <conditionalFormatting sqref="H11:H13">
    <cfRule type="expression" dxfId="207" priority="31">
      <formula>OR(#REF!="No",#REF!="Không")</formula>
    </cfRule>
  </conditionalFormatting>
  <conditionalFormatting sqref="G11:G13 B11:B13">
    <cfRule type="expression" dxfId="206" priority="29">
      <formula>OR($D11="No",$D11="Không")</formula>
    </cfRule>
    <cfRule type="expression" dxfId="205" priority="30">
      <formula>OR(#REF!="No",#REF!="Không")</formula>
    </cfRule>
  </conditionalFormatting>
  <conditionalFormatting sqref="A68:A72 B68:K68 B102:K102 A41:A45 B41:K41 A18 B72:K72 A102:A105 B105:K105 B70 G92:G96 J69:K71 I45:K45 B45:G45 J42:K44 J103:K104">
    <cfRule type="expression" dxfId="204" priority="28">
      <formula>#REF!&lt;&gt;"Prescriptive Path"</formula>
    </cfRule>
  </conditionalFormatting>
  <conditionalFormatting sqref="G70:G71">
    <cfRule type="expression" dxfId="203" priority="27">
      <formula>#REF!&lt;&gt;"Prescriptive Path"</formula>
    </cfRule>
  </conditionalFormatting>
  <conditionalFormatting sqref="G104">
    <cfRule type="expression" dxfId="202" priority="26">
      <formula>#REF!&lt;&gt;"Prescriptive Path"</formula>
    </cfRule>
  </conditionalFormatting>
  <conditionalFormatting sqref="G43:G44">
    <cfRule type="expression" dxfId="201" priority="25">
      <formula>#REF!&lt;&gt;"Prescriptive Path"</formula>
    </cfRule>
  </conditionalFormatting>
  <conditionalFormatting sqref="A73">
    <cfRule type="expression" dxfId="200" priority="16">
      <formula>#REF!&lt;&gt;"Prescriptive Path"</formula>
    </cfRule>
  </conditionalFormatting>
  <conditionalFormatting sqref="A67">
    <cfRule type="expression" dxfId="199" priority="17">
      <formula>#REF!&lt;&gt;"Prescriptive Path"</formula>
    </cfRule>
  </conditionalFormatting>
  <conditionalFormatting sqref="A40">
    <cfRule type="expression" dxfId="198" priority="20">
      <formula>#REF!&lt;&gt;"Prescriptive Path"</formula>
    </cfRule>
  </conditionalFormatting>
  <conditionalFormatting sqref="A46">
    <cfRule type="expression" dxfId="197" priority="19">
      <formula>#REF!&lt;&gt;"Prescriptive Path"</formula>
    </cfRule>
  </conditionalFormatting>
  <conditionalFormatting sqref="A53">
    <cfRule type="expression" dxfId="196" priority="18">
      <formula>#REF!&lt;&gt;"Prescriptive Path"</formula>
    </cfRule>
  </conditionalFormatting>
  <conditionalFormatting sqref="A80">
    <cfRule type="expression" dxfId="195" priority="15">
      <formula>#REF!&lt;&gt;"Prescriptive Path"</formula>
    </cfRule>
  </conditionalFormatting>
  <conditionalFormatting sqref="A101">
    <cfRule type="expression" dxfId="194" priority="14">
      <formula>#REF!&lt;&gt;"Prescriptive Path"</formula>
    </cfRule>
  </conditionalFormatting>
  <conditionalFormatting sqref="A106">
    <cfRule type="expression" dxfId="193" priority="13">
      <formula>#REF!&lt;&gt;"Prescriptive Path"</formula>
    </cfRule>
  </conditionalFormatting>
  <conditionalFormatting sqref="B91">
    <cfRule type="expression" dxfId="192" priority="12">
      <formula>#REF!&lt;&gt;"Prescriptive Path"</formula>
    </cfRule>
  </conditionalFormatting>
  <conditionalFormatting sqref="G91">
    <cfRule type="expression" dxfId="191" priority="11">
      <formula>#REF!&lt;&gt;"Prescriptive Path"</formula>
    </cfRule>
  </conditionalFormatting>
  <conditionalFormatting sqref="H42:I42">
    <cfRule type="expression" dxfId="190" priority="10">
      <formula>#REF!&lt;&gt;"Prescriptive Path"</formula>
    </cfRule>
  </conditionalFormatting>
  <conditionalFormatting sqref="H69:I69">
    <cfRule type="expression" dxfId="189" priority="9">
      <formula>#REF!&lt;&gt;"Prescriptive Path"</formula>
    </cfRule>
  </conditionalFormatting>
  <conditionalFormatting sqref="B71">
    <cfRule type="expression" dxfId="188" priority="8">
      <formula>#REF!&lt;&gt;"Prescriptive Path"</formula>
    </cfRule>
  </conditionalFormatting>
  <conditionalFormatting sqref="B43:B44">
    <cfRule type="expression" dxfId="187" priority="5">
      <formula>#REF!&lt;&gt;"Prescriptive Path"</formula>
    </cfRule>
  </conditionalFormatting>
  <conditionalFormatting sqref="I70:I71">
    <cfRule type="expression" dxfId="186" priority="7">
      <formula>#REF!&lt;&gt;"Prescriptive Path"</formula>
    </cfRule>
  </conditionalFormatting>
  <conditionalFormatting sqref="B104">
    <cfRule type="expression" dxfId="185" priority="6">
      <formula>#REF!&lt;&gt;"Prescriptive Path"</formula>
    </cfRule>
  </conditionalFormatting>
  <conditionalFormatting sqref="H45">
    <cfRule type="expression" dxfId="184" priority="4">
      <formula>#REF!&lt;&gt;"Prescriptive Path"</formula>
    </cfRule>
  </conditionalFormatting>
  <conditionalFormatting sqref="I43:I44">
    <cfRule type="expression" dxfId="183" priority="3">
      <formula>#REF!&lt;&gt;"Prescriptive Path"</formula>
    </cfRule>
  </conditionalFormatting>
  <conditionalFormatting sqref="H103:I103">
    <cfRule type="expression" dxfId="182" priority="2">
      <formula>#REF!&lt;&gt;"Prescriptive Path"</formula>
    </cfRule>
  </conditionalFormatting>
  <conditionalFormatting sqref="I104">
    <cfRule type="expression" dxfId="181" priority="1">
      <formula>#REF!&lt;&gt;"Prescriptive Path"</formula>
    </cfRule>
  </conditionalFormatting>
  <dataValidations disablePrompts="1" count="4">
    <dataValidation type="list" allowBlank="1" showInputMessage="1" showErrorMessage="1" sqref="G70:G71 G104 G43:G44">
      <formula1>"Select,Submitted,Not submitted"</formula1>
    </dataValidation>
    <dataValidation type="list" allowBlank="1" showInputMessage="1" showErrorMessage="1" sqref="E60:F60">
      <formula1>"Select,Irrigation, WC flushing, Irrigation and WC flushing"</formula1>
    </dataValidation>
    <dataValidation type="list" allowBlank="1" showInputMessage="1" showErrorMessage="1" sqref="E59:F59">
      <formula1>"Select,gray water, black water, gray and black water"</formula1>
    </dataValidation>
    <dataValidation type="list" allowBlank="1" showInputMessage="1" showErrorMessage="1" sqref="G92:G96">
      <formula1>"Select,Yes,No"</formula1>
    </dataValidation>
  </dataValidations>
  <hyperlinks>
    <hyperlink ref="K4" location="'W-3 Drinking Water '!E3" tooltip="W-3" display="W-3"/>
    <hyperlink ref="K3" location="'W-2 Water Efficient Landscaping'!E3" tooltip="W-2" display="W-2"/>
    <hyperlink ref="K2" location="'W-1 Water Efficient Fixtures'!E3" tooltip="W-1" display="W-1"/>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5F4970"/>
  </sheetPr>
  <dimension ref="A1:XFC56"/>
  <sheetViews>
    <sheetView showRowColHeaders="0" zoomScale="90" zoomScaleNormal="90" workbookViewId="0">
      <selection activeCell="G4" sqref="G4:G5"/>
    </sheetView>
  </sheetViews>
  <sheetFormatPr defaultColWidth="0" defaultRowHeight="0" customHeight="1" zeroHeight="1" x14ac:dyDescent="0.25"/>
  <cols>
    <col min="1" max="1" width="5.7109375" customWidth="1"/>
    <col min="2" max="2" width="31.85546875" customWidth="1"/>
    <col min="3" max="3" width="3.5703125" customWidth="1"/>
    <col min="4" max="4" width="11.140625" customWidth="1"/>
    <col min="5" max="6" width="20.5703125" customWidth="1"/>
    <col min="7" max="8" width="19.7109375" customWidth="1"/>
    <col min="9" max="10" width="8" customWidth="1"/>
    <col min="11" max="11" width="4" customWidth="1"/>
    <col min="12" max="12" width="5.7109375" customWidth="1"/>
    <col min="13" max="17" width="0" hidden="1" customWidth="1"/>
    <col min="18" max="16383" width="9.140625" hidden="1"/>
    <col min="16384" max="16384" width="1.140625" hidden="1" customWidth="1"/>
  </cols>
  <sheetData>
    <row r="1" spans="1:12" ht="30" customHeight="1" x14ac:dyDescent="0.25">
      <c r="A1" s="45"/>
      <c r="B1" s="1789" t="s">
        <v>210</v>
      </c>
      <c r="C1" s="289"/>
      <c r="D1" s="1"/>
      <c r="E1" s="1"/>
      <c r="F1" s="1"/>
      <c r="G1" s="1"/>
      <c r="H1" s="1"/>
      <c r="I1" s="1"/>
      <c r="J1" s="1"/>
      <c r="K1" s="1"/>
      <c r="L1" s="1"/>
    </row>
    <row r="2" spans="1:12" ht="30" customHeight="1" x14ac:dyDescent="0.25">
      <c r="A2" s="45"/>
      <c r="B2" s="1789"/>
      <c r="C2" s="289"/>
      <c r="D2" s="1"/>
      <c r="E2" s="1"/>
      <c r="F2" s="1"/>
      <c r="G2" s="1"/>
      <c r="H2" s="1"/>
      <c r="I2" s="1"/>
      <c r="J2" s="1"/>
      <c r="K2" s="1"/>
      <c r="L2" s="1"/>
    </row>
    <row r="3" spans="1:12" ht="21.75" customHeight="1" x14ac:dyDescent="0.25">
      <c r="A3" s="45"/>
      <c r="B3" s="1789"/>
      <c r="C3" s="289"/>
      <c r="D3" s="1"/>
      <c r="E3" s="1"/>
      <c r="F3" s="1"/>
      <c r="G3" s="1"/>
      <c r="H3" s="1"/>
      <c r="I3" s="1"/>
      <c r="J3" s="1"/>
      <c r="K3" s="1"/>
      <c r="L3" s="1"/>
    </row>
    <row r="4" spans="1:12" ht="15" customHeight="1" x14ac:dyDescent="0.25">
      <c r="A4" s="45"/>
      <c r="B4" s="1790" t="str">
        <f>IF(A1="","To encourage use of sustainable materials and reduce use of high-embodied-energy materials, for example trough the use of re-used and/or recycled materials.","Nhằm giảm thiểu tiêu thụ các loại vật liệu tiêu tốn nhiều năng lượng trong quá trình sản xuất, vận dụng tối đa các vật liệu tái sử dụng hoặc tái chế và tăng cường việc sử dụng các vật liệu lắp ghép")</f>
        <v>To encourage use of sustainable materials and reduce use of high-embodied-energy materials, for example trough the use of re-used and/or recycled materials.</v>
      </c>
      <c r="C4" s="290"/>
      <c r="D4" s="1"/>
      <c r="E4" s="1791" t="s">
        <v>391</v>
      </c>
      <c r="F4" s="1791"/>
      <c r="G4" s="1793" t="s">
        <v>392</v>
      </c>
      <c r="H4" s="1793" t="s">
        <v>56</v>
      </c>
      <c r="I4" s="1"/>
      <c r="J4" s="1"/>
      <c r="K4" s="1"/>
      <c r="L4" s="1"/>
    </row>
    <row r="5" spans="1:12" ht="15" customHeight="1" x14ac:dyDescent="0.25">
      <c r="A5" s="45"/>
      <c r="B5" s="1790"/>
      <c r="C5" s="290"/>
      <c r="D5" s="1"/>
      <c r="E5" s="1791"/>
      <c r="F5" s="1791"/>
      <c r="G5" s="1793"/>
      <c r="H5" s="1793"/>
      <c r="I5" s="1"/>
      <c r="J5" s="1"/>
      <c r="K5" s="1"/>
      <c r="L5" s="1"/>
    </row>
    <row r="6" spans="1:12" ht="23.25" customHeight="1" x14ac:dyDescent="0.25">
      <c r="A6" s="45"/>
      <c r="B6" s="1790"/>
      <c r="C6" s="290"/>
      <c r="D6" s="1"/>
      <c r="E6" s="1792" t="s">
        <v>1951</v>
      </c>
      <c r="F6" s="1792"/>
      <c r="G6" s="102">
        <v>3</v>
      </c>
      <c r="H6" s="102">
        <f ca="1">'M-1 Structure Materials'!G12</f>
        <v>0</v>
      </c>
      <c r="I6" s="1"/>
      <c r="J6" s="1"/>
      <c r="K6" s="1"/>
      <c r="L6" s="1"/>
    </row>
    <row r="7" spans="1:12" ht="23.25" customHeight="1" x14ac:dyDescent="0.25">
      <c r="A7" s="45"/>
      <c r="B7" s="1790"/>
      <c r="C7" s="290"/>
      <c r="D7" s="1"/>
      <c r="E7" s="1792" t="s">
        <v>1952</v>
      </c>
      <c r="F7" s="1792"/>
      <c r="G7" s="102">
        <v>3</v>
      </c>
      <c r="H7" s="102">
        <f ca="1">'M-2 Non-structural Walls'!G12</f>
        <v>0</v>
      </c>
      <c r="I7" s="1"/>
      <c r="J7" s="1"/>
      <c r="K7" s="1"/>
      <c r="L7" s="1"/>
    </row>
    <row r="8" spans="1:12" ht="23.25" customHeight="1" x14ac:dyDescent="0.25">
      <c r="A8" s="111"/>
      <c r="B8" s="1790"/>
      <c r="C8" s="290"/>
      <c r="D8" s="1"/>
      <c r="E8" s="1792" t="s">
        <v>1953</v>
      </c>
      <c r="F8" s="1792"/>
      <c r="G8" s="102">
        <v>2</v>
      </c>
      <c r="H8" s="102">
        <f>'M-3 Windows and Doors'!G12</f>
        <v>0</v>
      </c>
      <c r="I8" s="1"/>
      <c r="J8" s="1"/>
      <c r="K8" s="1"/>
      <c r="L8" s="1"/>
    </row>
    <row r="9" spans="1:12" ht="23.25" customHeight="1" x14ac:dyDescent="0.25">
      <c r="A9" s="111"/>
      <c r="B9" s="1790"/>
      <c r="C9" s="290"/>
      <c r="D9" s="1"/>
      <c r="E9" s="1792" t="s">
        <v>1954</v>
      </c>
      <c r="F9" s="1792"/>
      <c r="G9" s="102">
        <v>2</v>
      </c>
      <c r="H9" s="102">
        <f ca="1">'M-4 Flooring Materials'!G12</f>
        <v>0</v>
      </c>
      <c r="I9" s="1"/>
      <c r="J9" s="1"/>
      <c r="K9" s="1"/>
      <c r="L9" s="1"/>
    </row>
    <row r="10" spans="1:12" ht="23.25" customHeight="1" x14ac:dyDescent="0.25">
      <c r="A10" s="111"/>
      <c r="B10" s="1790"/>
      <c r="C10" s="290"/>
      <c r="D10" s="1"/>
      <c r="E10" s="1792" t="s">
        <v>1955</v>
      </c>
      <c r="F10" s="1792"/>
      <c r="G10" s="102">
        <v>2</v>
      </c>
      <c r="H10" s="102">
        <f ca="1">'M-5 Roofing Materials'!G12</f>
        <v>0</v>
      </c>
      <c r="I10" s="3"/>
      <c r="J10" s="3"/>
      <c r="K10" s="3"/>
      <c r="L10" s="3"/>
    </row>
    <row r="11" spans="1:12" ht="23.25" customHeight="1" x14ac:dyDescent="0.25">
      <c r="A11" s="111"/>
      <c r="B11" s="1790"/>
      <c r="C11" s="307"/>
      <c r="D11" s="1"/>
      <c r="E11" s="1792" t="s">
        <v>856</v>
      </c>
      <c r="F11" s="1792"/>
      <c r="G11" s="102">
        <v>2</v>
      </c>
      <c r="H11" s="102">
        <f>'M-6 Furniture'!G12</f>
        <v>0</v>
      </c>
      <c r="I11" s="3"/>
      <c r="J11" s="3"/>
      <c r="K11" s="3"/>
      <c r="L11" s="3"/>
    </row>
    <row r="12" spans="1:12" ht="24" customHeight="1" x14ac:dyDescent="0.25">
      <c r="A12" s="111"/>
      <c r="B12" s="1790"/>
      <c r="C12" s="290"/>
      <c r="D12" s="1"/>
      <c r="E12" s="116" t="s">
        <v>82</v>
      </c>
      <c r="F12" s="114"/>
      <c r="G12" s="115">
        <f>SUM(G6:G11)</f>
        <v>14</v>
      </c>
      <c r="H12" s="115">
        <f ca="1">SUM(H6:H11)</f>
        <v>0</v>
      </c>
      <c r="I12" s="1"/>
      <c r="J12" s="1"/>
      <c r="K12" s="1"/>
      <c r="L12" s="1"/>
    </row>
    <row r="13" spans="1:12" ht="15" customHeight="1" x14ac:dyDescent="0.25">
      <c r="A13" s="111"/>
      <c r="B13" s="113"/>
      <c r="C13" s="113"/>
      <c r="D13" s="1"/>
      <c r="E13" s="1"/>
      <c r="F13" s="1"/>
      <c r="G13" s="1"/>
      <c r="H13" s="1"/>
      <c r="I13" s="1"/>
      <c r="J13" s="1"/>
      <c r="K13" s="1"/>
      <c r="L13" s="1"/>
    </row>
    <row r="14" spans="1:12" ht="15" customHeight="1" x14ac:dyDescent="0.25">
      <c r="A14" s="111"/>
      <c r="B14" s="113"/>
      <c r="C14" s="113"/>
      <c r="D14" s="1"/>
      <c r="E14" s="1"/>
      <c r="F14" s="1"/>
      <c r="G14" s="1"/>
      <c r="H14" s="1"/>
      <c r="I14" s="1"/>
      <c r="J14" s="1"/>
      <c r="K14" s="1"/>
      <c r="L14" s="1"/>
    </row>
    <row r="15" spans="1:12" ht="15" customHeight="1" x14ac:dyDescent="0.25">
      <c r="A15" s="1794"/>
      <c r="B15" s="1794"/>
      <c r="C15" s="288"/>
      <c r="D15" s="1"/>
      <c r="E15" s="1"/>
      <c r="F15" s="1"/>
      <c r="G15" s="1"/>
      <c r="H15" s="1"/>
      <c r="I15" s="1"/>
      <c r="J15" s="1"/>
      <c r="K15" s="1"/>
      <c r="L15" s="1"/>
    </row>
    <row r="16" spans="1:12" ht="15" hidden="1" customHeight="1" x14ac:dyDescent="0.25">
      <c r="A16" s="95"/>
      <c r="B16" s="110"/>
      <c r="C16" s="110"/>
      <c r="D16" s="1"/>
      <c r="E16" s="1"/>
      <c r="F16" s="1"/>
      <c r="G16" s="1"/>
      <c r="H16" s="1"/>
      <c r="I16" s="1"/>
      <c r="J16" s="1"/>
      <c r="K16" s="1"/>
      <c r="L16" s="1"/>
    </row>
    <row r="17" spans="1:12" ht="15" hidden="1" customHeight="1" x14ac:dyDescent="0.25">
      <c r="A17" s="95"/>
      <c r="B17" s="110"/>
      <c r="C17" s="110"/>
      <c r="D17" s="1"/>
      <c r="E17" s="1"/>
      <c r="F17" s="1"/>
      <c r="G17" s="1"/>
      <c r="H17" s="1"/>
      <c r="I17" s="1"/>
      <c r="J17" s="1"/>
      <c r="K17" s="1"/>
      <c r="L17" s="1"/>
    </row>
    <row r="18" spans="1:12" ht="15" hidden="1" customHeight="1" x14ac:dyDescent="0.25">
      <c r="A18" s="95"/>
      <c r="B18" s="110"/>
      <c r="C18" s="110"/>
      <c r="D18" s="1"/>
      <c r="E18" s="1"/>
      <c r="F18" s="1"/>
      <c r="G18" s="1"/>
      <c r="H18" s="1"/>
      <c r="I18" s="1"/>
      <c r="J18" s="1"/>
      <c r="K18" s="1"/>
      <c r="L18" s="1"/>
    </row>
    <row r="19" spans="1:12" ht="15" hidden="1" customHeight="1" x14ac:dyDescent="0.25">
      <c r="A19" s="95"/>
      <c r="B19" s="110"/>
      <c r="C19" s="110"/>
      <c r="D19" s="1"/>
      <c r="E19" s="1"/>
      <c r="F19" s="1"/>
      <c r="G19" s="1"/>
      <c r="H19" s="1"/>
      <c r="I19" s="1"/>
      <c r="J19" s="1"/>
      <c r="K19" s="1"/>
      <c r="L19" s="1"/>
    </row>
    <row r="20" spans="1:12" ht="15" hidden="1" customHeight="1" x14ac:dyDescent="0.25">
      <c r="A20" s="1"/>
      <c r="B20" s="2"/>
      <c r="C20" s="2"/>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I44" s="1"/>
      <c r="J44" s="1"/>
      <c r="K44" s="1"/>
      <c r="L44" s="1"/>
    </row>
    <row r="45" spans="1:12" ht="15" hidden="1" customHeight="1" x14ac:dyDescent="0.25">
      <c r="A45" s="1"/>
      <c r="B45" s="2"/>
      <c r="C45" s="2"/>
      <c r="D45" s="1"/>
      <c r="I45" s="1"/>
      <c r="J45" s="1"/>
      <c r="K45" s="1"/>
      <c r="L45" s="1"/>
    </row>
    <row r="46" spans="1:12" ht="15" hidden="1" customHeight="1" x14ac:dyDescent="0.25"/>
    <row r="47" spans="1:12" ht="15" hidden="1" customHeight="1" x14ac:dyDescent="0.25"/>
    <row r="48" spans="1:12" ht="15" hidden="1" customHeight="1" x14ac:dyDescent="0.25"/>
    <row r="49" spans="13:13" ht="15" hidden="1" customHeight="1" x14ac:dyDescent="0.25"/>
    <row r="50" spans="13:13" ht="15" hidden="1" customHeight="1" x14ac:dyDescent="0.25">
      <c r="M50" t="s">
        <v>1162</v>
      </c>
    </row>
    <row r="51" spans="13:13" ht="15" hidden="1" customHeight="1" x14ac:dyDescent="0.25"/>
    <row r="52" spans="13:13" ht="15" hidden="1" customHeight="1" x14ac:dyDescent="0.25"/>
    <row r="53" spans="13:13" ht="15" hidden="1" customHeight="1" x14ac:dyDescent="0.25"/>
    <row r="54" spans="13:13" ht="15" hidden="1" customHeight="1" x14ac:dyDescent="0.25"/>
    <row r="55" spans="13:13" ht="15" hidden="1" customHeight="1" x14ac:dyDescent="0.25"/>
    <row r="56" spans="13:13" ht="15" hidden="1" customHeight="1" x14ac:dyDescent="0.25"/>
  </sheetData>
  <sheetProtection password="DAFC" sheet="1" objects="1" scenarios="1"/>
  <mergeCells count="12">
    <mergeCell ref="G4:G5"/>
    <mergeCell ref="H4:H5"/>
    <mergeCell ref="E6:F6"/>
    <mergeCell ref="E7:F7"/>
    <mergeCell ref="A15:B15"/>
    <mergeCell ref="E9:F9"/>
    <mergeCell ref="E10:F10"/>
    <mergeCell ref="B1:B3"/>
    <mergeCell ref="B4:B12"/>
    <mergeCell ref="E4:F5"/>
    <mergeCell ref="E8:F8"/>
    <mergeCell ref="E11:F11"/>
  </mergeCells>
  <hyperlinks>
    <hyperlink ref="E6:F6" location="'M-1 Structure Materials'!A1" tooltip="M-1 Building Structure" display="M-1 Building Structure Materials"/>
    <hyperlink ref="E7:F7" location="'M-2 Non-structural walls'!D3" tooltip="M-2 Non-structural walls" display="M-2 Non-structural walls"/>
    <hyperlink ref="E8:F8" location="'M-3 Windows and doors'!D3" tooltip="M-3 Windows and doors" display="M-3 Windows and doors"/>
    <hyperlink ref="E9:F9" location="'M-4 Flooring materials'!D3" tooltip="M-4 Flooring materials" display="M-4 Flooring materials"/>
    <hyperlink ref="E10:F10" location="'M-5 Roofing materials'!D3" tooltip="M-5 Roofing materials" display="M-5 Roofing materials"/>
    <hyperlink ref="E11:F11" location="'M-6 Furniture'!D3" tooltip="M-6 Furniture" display="M-6 Furniture"/>
  </hyperlinks>
  <pageMargins left="0.7" right="0.7" top="0.75" bottom="0.75" header="0.3" footer="0.3"/>
  <pageSetup orientation="portrait"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5F4970"/>
  </sheetPr>
  <dimension ref="A1:S209"/>
  <sheetViews>
    <sheetView showRowColHeaders="0" workbookViewId="0">
      <pane ySplit="8" topLeftCell="A9" activePane="bottomLeft" state="frozen"/>
      <selection pane="bottomLeft" activeCell="D16" sqref="D16"/>
    </sheetView>
  </sheetViews>
  <sheetFormatPr defaultColWidth="0" defaultRowHeight="15" customHeight="1" zeroHeight="1" x14ac:dyDescent="0.25"/>
  <cols>
    <col min="1" max="1" width="3.7109375" customWidth="1"/>
    <col min="2" max="2" width="23.140625" customWidth="1"/>
    <col min="3" max="3" width="21.5703125" customWidth="1"/>
    <col min="4" max="4" width="20.28515625" customWidth="1"/>
    <col min="5" max="5" width="15.140625" customWidth="1"/>
    <col min="6" max="6" width="20.7109375" customWidth="1"/>
    <col min="7" max="8" width="17.7109375" customWidth="1"/>
    <col min="9" max="9" width="10.7109375" customWidth="1"/>
    <col min="10" max="11" width="8.7109375" customWidth="1"/>
    <col min="12" max="16384" width="9.140625" hidden="1"/>
  </cols>
  <sheetData>
    <row r="1" spans="1:14" ht="24" customHeight="1" x14ac:dyDescent="0.25">
      <c r="A1" s="1795" t="s">
        <v>1951</v>
      </c>
      <c r="B1" s="1795"/>
      <c r="C1" s="1795"/>
      <c r="D1" s="1795"/>
      <c r="E1" s="1795"/>
      <c r="F1" s="1795"/>
      <c r="G1" s="1795"/>
      <c r="H1" s="1795"/>
      <c r="I1" s="1795"/>
      <c r="J1" s="1795"/>
      <c r="K1" s="1795"/>
    </row>
    <row r="2" spans="1:14" ht="15" customHeight="1" x14ac:dyDescent="0.25">
      <c r="A2" s="4"/>
      <c r="B2" s="4"/>
      <c r="C2" s="4"/>
      <c r="D2" s="4"/>
      <c r="E2" s="4"/>
      <c r="F2" s="4"/>
      <c r="G2" s="5"/>
      <c r="H2" s="1426" t="s">
        <v>2107</v>
      </c>
      <c r="I2" s="1426"/>
      <c r="J2" s="833" t="s">
        <v>63</v>
      </c>
      <c r="K2" s="833" t="s">
        <v>75</v>
      </c>
    </row>
    <row r="3" spans="1:14" ht="15" customHeight="1" x14ac:dyDescent="0.25">
      <c r="A3" s="4"/>
      <c r="B3" s="4"/>
      <c r="C3" s="4"/>
      <c r="D3" s="4"/>
      <c r="E3" s="4"/>
      <c r="F3" s="4"/>
      <c r="G3" s="5"/>
      <c r="H3" s="1426"/>
      <c r="I3" s="1426"/>
      <c r="J3" s="833" t="s">
        <v>67</v>
      </c>
      <c r="K3" s="833" t="s">
        <v>641</v>
      </c>
    </row>
    <row r="4" spans="1:14" ht="15" customHeight="1" x14ac:dyDescent="0.25">
      <c r="A4" s="4"/>
      <c r="B4" s="4"/>
      <c r="C4" s="4"/>
      <c r="D4" s="4"/>
      <c r="E4" s="4"/>
      <c r="F4" s="4"/>
      <c r="G4" s="5"/>
      <c r="H4" s="1427"/>
      <c r="I4" s="1427"/>
      <c r="J4" s="833" t="s">
        <v>71</v>
      </c>
      <c r="K4" s="833"/>
    </row>
    <row r="5" spans="1:14" s="42" customFormat="1" ht="18" customHeight="1" x14ac:dyDescent="0.25">
      <c r="A5" s="1417" t="s">
        <v>2411</v>
      </c>
      <c r="B5" s="1418"/>
      <c r="C5" s="1418"/>
      <c r="D5" s="1418"/>
      <c r="E5" s="1418"/>
      <c r="F5" s="1418"/>
      <c r="G5" s="1418"/>
      <c r="H5" s="1418"/>
      <c r="I5" s="1418"/>
      <c r="J5" s="1418"/>
      <c r="K5" s="1418"/>
      <c r="L5"/>
      <c r="M5"/>
      <c r="N5"/>
    </row>
    <row r="6" spans="1:14" s="42" customFormat="1" ht="18" customHeight="1" x14ac:dyDescent="0.25">
      <c r="A6" s="1420"/>
      <c r="B6" s="1421"/>
      <c r="C6" s="1421"/>
      <c r="D6" s="1421"/>
      <c r="E6" s="1421"/>
      <c r="F6" s="1421"/>
      <c r="G6" s="1421"/>
      <c r="H6" s="1421"/>
      <c r="I6" s="1421"/>
      <c r="J6" s="1421"/>
      <c r="K6" s="1421"/>
      <c r="L6"/>
      <c r="M6"/>
      <c r="N6"/>
    </row>
    <row r="7" spans="1:14" s="42" customFormat="1" ht="18" customHeight="1" x14ac:dyDescent="0.25">
      <c r="A7" s="1423"/>
      <c r="B7" s="1424"/>
      <c r="C7" s="1424"/>
      <c r="D7" s="1424"/>
      <c r="E7" s="1424"/>
      <c r="F7" s="1424"/>
      <c r="G7" s="1424"/>
      <c r="H7" s="1424"/>
      <c r="I7" s="1424"/>
      <c r="J7" s="1424"/>
      <c r="K7" s="1424"/>
      <c r="L7"/>
      <c r="M7"/>
      <c r="N7"/>
    </row>
    <row r="8" spans="1:14" s="42" customFormat="1" ht="10.5" customHeight="1" x14ac:dyDescent="0.25">
      <c r="A8" s="53"/>
      <c r="B8" s="54"/>
      <c r="C8" s="54"/>
      <c r="D8" s="54"/>
      <c r="E8" s="54"/>
      <c r="F8" s="53"/>
      <c r="G8" s="53"/>
      <c r="H8" s="53"/>
      <c r="I8" s="53"/>
      <c r="J8" s="53"/>
      <c r="K8" s="53"/>
      <c r="L8" s="53"/>
      <c r="M8" s="53"/>
    </row>
    <row r="9" spans="1:14" ht="18" customHeight="1" x14ac:dyDescent="0.25">
      <c r="A9" s="1799" t="s">
        <v>191</v>
      </c>
      <c r="B9" s="1799"/>
      <c r="C9" s="1799"/>
      <c r="D9" s="1799"/>
      <c r="E9" s="1799"/>
      <c r="F9" s="1799"/>
      <c r="G9" s="1799"/>
      <c r="H9" s="1799"/>
      <c r="I9" s="1799"/>
      <c r="J9" s="1799"/>
      <c r="K9" s="1799"/>
    </row>
    <row r="10" spans="1:14" ht="16.5" customHeight="1" x14ac:dyDescent="0.25">
      <c r="A10" s="5"/>
      <c r="B10" s="4"/>
      <c r="C10" s="4"/>
      <c r="D10" s="4"/>
      <c r="E10" s="4"/>
      <c r="F10" s="5"/>
      <c r="G10" s="5"/>
      <c r="H10" s="5"/>
      <c r="I10" s="5"/>
      <c r="J10" s="5"/>
      <c r="K10" s="5"/>
    </row>
    <row r="11" spans="1:14" ht="19.5" customHeight="1" x14ac:dyDescent="0.25">
      <c r="A11" s="5"/>
      <c r="B11" s="1802" t="s">
        <v>192</v>
      </c>
      <c r="C11" s="1803"/>
      <c r="D11" s="1803"/>
      <c r="E11" s="1803"/>
      <c r="F11" s="480" t="s">
        <v>157</v>
      </c>
      <c r="G11" s="480" t="s">
        <v>56</v>
      </c>
      <c r="H11" s="317" t="s">
        <v>521</v>
      </c>
      <c r="I11" s="5"/>
      <c r="J11" s="5"/>
      <c r="K11" s="5"/>
    </row>
    <row r="12" spans="1:14" ht="45" customHeight="1" x14ac:dyDescent="0.25">
      <c r="A12" s="5"/>
      <c r="B12" s="1474" t="s">
        <v>1160</v>
      </c>
      <c r="C12" s="1475"/>
      <c r="D12" s="1475"/>
      <c r="E12" s="1476"/>
      <c r="F12" s="40">
        <v>3</v>
      </c>
      <c r="G12" s="517">
        <f ca="1">C72</f>
        <v>0</v>
      </c>
      <c r="H12" s="517" t="str">
        <f ca="1">C73</f>
        <v>No</v>
      </c>
      <c r="I12" s="5"/>
      <c r="J12" s="5"/>
      <c r="K12" s="5"/>
    </row>
    <row r="13" spans="1:14" ht="16.5" customHeight="1" x14ac:dyDescent="0.25">
      <c r="A13" s="5"/>
      <c r="B13" s="4"/>
      <c r="C13" s="4"/>
      <c r="D13" s="4"/>
      <c r="E13" s="4"/>
      <c r="F13" s="5"/>
      <c r="G13" s="5"/>
      <c r="H13" s="5"/>
      <c r="I13" s="5"/>
      <c r="J13" s="5"/>
      <c r="K13" s="5"/>
    </row>
    <row r="14" spans="1:14" ht="18" customHeight="1" x14ac:dyDescent="0.25">
      <c r="A14" s="1799" t="s">
        <v>265</v>
      </c>
      <c r="B14" s="1799"/>
      <c r="C14" s="1799"/>
      <c r="D14" s="1799"/>
      <c r="E14" s="1799"/>
      <c r="F14" s="1799"/>
      <c r="G14" s="1799"/>
      <c r="H14" s="1799"/>
      <c r="I14" s="1799"/>
      <c r="J14" s="1799"/>
      <c r="K14" s="1799"/>
    </row>
    <row r="15" spans="1:14" x14ac:dyDescent="0.25">
      <c r="A15" s="4"/>
      <c r="B15" s="4"/>
      <c r="C15" s="4"/>
      <c r="D15" s="4"/>
      <c r="E15" s="4"/>
      <c r="F15" s="4"/>
      <c r="G15" s="4"/>
      <c r="H15" s="4"/>
      <c r="I15" s="4"/>
      <c r="J15" s="4"/>
      <c r="K15" s="4"/>
    </row>
    <row r="16" spans="1:14" x14ac:dyDescent="0.25">
      <c r="A16" s="4"/>
      <c r="B16" s="661" t="s">
        <v>1558</v>
      </c>
      <c r="C16" s="4"/>
      <c r="D16" s="4"/>
      <c r="E16" s="4"/>
      <c r="F16" s="4"/>
      <c r="G16" s="4"/>
      <c r="H16" s="4"/>
      <c r="I16" s="4"/>
      <c r="J16" s="4"/>
      <c r="K16" s="4"/>
    </row>
    <row r="17" spans="1:11" x14ac:dyDescent="0.25">
      <c r="A17" s="4"/>
      <c r="B17" s="4"/>
      <c r="C17" s="4"/>
      <c r="D17" s="4"/>
      <c r="E17" s="4"/>
      <c r="F17" s="4"/>
      <c r="G17" s="4"/>
      <c r="H17" s="4"/>
      <c r="I17" s="4"/>
      <c r="J17" s="4"/>
      <c r="K17" s="4"/>
    </row>
    <row r="18" spans="1:11" x14ac:dyDescent="0.25">
      <c r="A18" s="4"/>
      <c r="B18" s="660" t="s">
        <v>875</v>
      </c>
      <c r="C18" s="4"/>
      <c r="D18" s="4"/>
      <c r="E18" s="4"/>
      <c r="F18" s="4"/>
      <c r="G18" s="4"/>
      <c r="H18" s="4"/>
      <c r="I18" s="4"/>
      <c r="J18" s="4"/>
      <c r="K18" s="4"/>
    </row>
    <row r="19" spans="1:11" x14ac:dyDescent="0.25">
      <c r="A19" s="4"/>
      <c r="B19" s="835" t="s">
        <v>876</v>
      </c>
      <c r="C19" s="4"/>
      <c r="D19" s="4"/>
      <c r="E19" s="4"/>
      <c r="F19" s="4"/>
      <c r="G19" s="4"/>
      <c r="H19" s="4"/>
      <c r="I19" s="4"/>
      <c r="J19" s="4"/>
      <c r="K19" s="4"/>
    </row>
    <row r="20" spans="1:11" x14ac:dyDescent="0.25">
      <c r="A20" s="4"/>
      <c r="B20" s="671" t="s">
        <v>877</v>
      </c>
      <c r="C20" s="4"/>
      <c r="D20" s="4"/>
      <c r="E20" s="4"/>
      <c r="F20" s="4"/>
      <c r="G20" s="4"/>
      <c r="H20" s="4"/>
      <c r="I20" s="4"/>
      <c r="J20" s="4"/>
      <c r="K20" s="4"/>
    </row>
    <row r="21" spans="1:11" x14ac:dyDescent="0.25">
      <c r="A21" s="4"/>
      <c r="B21" s="671" t="s">
        <v>878</v>
      </c>
      <c r="C21" s="4"/>
      <c r="D21" s="4"/>
      <c r="E21" s="4"/>
      <c r="F21" s="4"/>
      <c r="G21" s="4"/>
      <c r="H21" s="4"/>
      <c r="I21" s="4"/>
      <c r="J21" s="4"/>
      <c r="K21" s="4"/>
    </row>
    <row r="22" spans="1:11" x14ac:dyDescent="0.25">
      <c r="A22" s="4"/>
      <c r="B22" s="671" t="s">
        <v>879</v>
      </c>
      <c r="C22" s="4"/>
      <c r="D22" s="4"/>
      <c r="E22" s="4"/>
      <c r="F22" s="4"/>
      <c r="G22" s="4"/>
      <c r="H22" s="4"/>
      <c r="I22" s="4"/>
      <c r="J22" s="4"/>
      <c r="K22" s="4"/>
    </row>
    <row r="23" spans="1:11" x14ac:dyDescent="0.25">
      <c r="A23" s="4"/>
      <c r="B23" s="671" t="s">
        <v>880</v>
      </c>
      <c r="C23" s="4"/>
      <c r="D23" s="4"/>
      <c r="E23" s="4"/>
      <c r="F23" s="4"/>
      <c r="G23" s="4"/>
      <c r="H23" s="4"/>
      <c r="I23" s="4"/>
      <c r="J23" s="4"/>
      <c r="K23" s="4"/>
    </row>
    <row r="24" spans="1:11" x14ac:dyDescent="0.25">
      <c r="A24" s="4"/>
      <c r="B24" s="671" t="s">
        <v>881</v>
      </c>
      <c r="C24" s="4"/>
      <c r="D24" s="4"/>
      <c r="E24" s="4"/>
      <c r="F24" s="4"/>
      <c r="G24" s="4"/>
      <c r="H24" s="4"/>
      <c r="I24" s="4"/>
      <c r="J24" s="4"/>
      <c r="K24" s="4"/>
    </row>
    <row r="25" spans="1:11" x14ac:dyDescent="0.25">
      <c r="A25" s="4"/>
      <c r="B25" s="4"/>
      <c r="C25" s="4"/>
      <c r="D25" s="4"/>
      <c r="E25" s="4"/>
      <c r="F25" s="4"/>
      <c r="G25" s="4"/>
      <c r="H25" s="4"/>
      <c r="I25" s="4"/>
      <c r="J25" s="4"/>
      <c r="K25" s="4"/>
    </row>
    <row r="26" spans="1:11" x14ac:dyDescent="0.25">
      <c r="A26" s="4"/>
      <c r="B26" s="1806" t="s">
        <v>868</v>
      </c>
      <c r="C26" s="1807"/>
      <c r="D26" s="1807"/>
      <c r="E26" s="1807"/>
      <c r="F26" s="1807"/>
      <c r="G26" s="1807"/>
      <c r="H26" s="1808"/>
      <c r="I26" s="4"/>
      <c r="J26" s="4"/>
      <c r="K26" s="4"/>
    </row>
    <row r="27" spans="1:11" x14ac:dyDescent="0.25">
      <c r="A27" s="4"/>
      <c r="B27" s="1491" t="s">
        <v>1142</v>
      </c>
      <c r="C27" s="1492"/>
      <c r="D27" s="1492"/>
      <c r="E27" s="1492"/>
      <c r="F27" s="1492"/>
      <c r="G27" s="1492"/>
      <c r="H27" s="1493"/>
      <c r="I27" s="4"/>
      <c r="J27" s="4"/>
      <c r="K27" s="4"/>
    </row>
    <row r="28" spans="1:11" x14ac:dyDescent="0.25">
      <c r="A28" s="4"/>
      <c r="B28" s="1491" t="s">
        <v>1549</v>
      </c>
      <c r="C28" s="1492"/>
      <c r="D28" s="1492"/>
      <c r="E28" s="1492"/>
      <c r="F28" s="1492"/>
      <c r="G28" s="1492"/>
      <c r="H28" s="1493"/>
      <c r="I28" s="4"/>
      <c r="J28" s="4"/>
      <c r="K28" s="4"/>
    </row>
    <row r="29" spans="1:11" x14ac:dyDescent="0.25">
      <c r="A29" s="4"/>
      <c r="B29" s="1491" t="s">
        <v>850</v>
      </c>
      <c r="C29" s="1492"/>
      <c r="D29" s="1492"/>
      <c r="E29" s="1492"/>
      <c r="F29" s="1492"/>
      <c r="G29" s="1492"/>
      <c r="H29" s="1493"/>
      <c r="I29" s="4"/>
      <c r="J29" s="4"/>
      <c r="K29" s="4"/>
    </row>
    <row r="30" spans="1:11" x14ac:dyDescent="0.25">
      <c r="A30" s="4"/>
      <c r="B30" s="1491" t="s">
        <v>851</v>
      </c>
      <c r="C30" s="1492"/>
      <c r="D30" s="1492"/>
      <c r="E30" s="1492"/>
      <c r="F30" s="1492"/>
      <c r="G30" s="1492"/>
      <c r="H30" s="1493"/>
      <c r="I30" s="4"/>
      <c r="J30" s="4"/>
      <c r="K30" s="4"/>
    </row>
    <row r="31" spans="1:11" x14ac:dyDescent="0.25">
      <c r="A31" s="4"/>
      <c r="B31" s="1491" t="s">
        <v>1129</v>
      </c>
      <c r="C31" s="1492"/>
      <c r="D31" s="1492"/>
      <c r="E31" s="1492"/>
      <c r="F31" s="1492"/>
      <c r="G31" s="1492"/>
      <c r="H31" s="1493"/>
      <c r="I31" s="4"/>
      <c r="J31" s="4"/>
      <c r="K31" s="4"/>
    </row>
    <row r="32" spans="1:11" x14ac:dyDescent="0.25">
      <c r="A32" s="4"/>
      <c r="B32" s="1498" t="s">
        <v>882</v>
      </c>
      <c r="C32" s="1499"/>
      <c r="D32" s="1499"/>
      <c r="E32" s="1499"/>
      <c r="F32" s="1499"/>
      <c r="G32" s="1499"/>
      <c r="H32" s="1500"/>
      <c r="I32" s="4"/>
      <c r="J32" s="4"/>
      <c r="K32" s="4"/>
    </row>
    <row r="33" spans="1:19" ht="18" customHeight="1" x14ac:dyDescent="0.25">
      <c r="A33" s="4"/>
      <c r="B33" s="4"/>
      <c r="C33" s="4"/>
      <c r="D33" s="4"/>
      <c r="E33" s="4"/>
      <c r="F33" s="4"/>
      <c r="G33" s="4"/>
      <c r="H33" s="4"/>
      <c r="I33" s="4"/>
      <c r="J33" s="4"/>
      <c r="K33" s="4"/>
    </row>
    <row r="34" spans="1:19" ht="18" customHeight="1" x14ac:dyDescent="0.25">
      <c r="A34" s="1799" t="s">
        <v>26</v>
      </c>
      <c r="B34" s="1799"/>
      <c r="C34" s="1799"/>
      <c r="D34" s="1799"/>
      <c r="E34" s="1799"/>
      <c r="F34" s="1799"/>
      <c r="G34" s="1799"/>
      <c r="H34" s="1799"/>
      <c r="I34" s="1799"/>
      <c r="J34" s="1799"/>
      <c r="K34" s="1799"/>
    </row>
    <row r="35" spans="1:19" x14ac:dyDescent="0.25">
      <c r="A35" s="4"/>
      <c r="B35" s="4"/>
      <c r="C35" s="4"/>
      <c r="D35" s="4"/>
      <c r="E35" s="4"/>
      <c r="F35" s="4"/>
      <c r="G35" s="4"/>
      <c r="H35" s="4"/>
      <c r="I35" s="4"/>
      <c r="J35" s="4"/>
      <c r="K35" s="4"/>
    </row>
    <row r="36" spans="1:19" x14ac:dyDescent="0.25">
      <c r="A36" s="4"/>
      <c r="B36" s="836" t="s">
        <v>1550</v>
      </c>
      <c r="C36" s="4"/>
      <c r="D36" s="4"/>
      <c r="E36" s="4"/>
      <c r="F36" s="4"/>
      <c r="G36" s="4"/>
      <c r="H36" s="4"/>
      <c r="I36" s="4"/>
      <c r="J36" s="4"/>
      <c r="K36" s="4"/>
    </row>
    <row r="37" spans="1:19" ht="18.75" customHeight="1" x14ac:dyDescent="0.25">
      <c r="A37" s="4"/>
      <c r="B37" s="322"/>
      <c r="C37" s="4"/>
      <c r="D37" s="4"/>
      <c r="E37" s="4"/>
      <c r="F37" s="4"/>
      <c r="G37" s="4"/>
      <c r="H37" s="4"/>
      <c r="I37" s="4"/>
      <c r="J37" s="4"/>
      <c r="K37" s="4"/>
    </row>
    <row r="38" spans="1:19" x14ac:dyDescent="0.25">
      <c r="A38" s="4"/>
      <c r="B38" s="717" t="s">
        <v>1287</v>
      </c>
      <c r="C38" s="4"/>
      <c r="D38" s="4"/>
      <c r="E38" s="4"/>
      <c r="F38" s="4"/>
      <c r="G38" s="4"/>
      <c r="H38" s="4"/>
      <c r="I38" s="4"/>
      <c r="J38" s="4"/>
      <c r="K38" s="4"/>
    </row>
    <row r="39" spans="1:19" ht="13.5" customHeight="1" x14ac:dyDescent="0.25">
      <c r="A39" s="4"/>
      <c r="B39" s="322"/>
      <c r="C39" s="4"/>
      <c r="D39" s="4"/>
      <c r="E39" s="4"/>
      <c r="F39" s="4"/>
      <c r="G39" s="4"/>
      <c r="H39" s="4"/>
      <c r="I39" s="4"/>
      <c r="J39" s="4"/>
      <c r="K39" s="4"/>
    </row>
    <row r="40" spans="1:19" x14ac:dyDescent="0.25">
      <c r="A40" s="4"/>
      <c r="B40" s="1800" t="s">
        <v>642</v>
      </c>
      <c r="C40" s="1801"/>
      <c r="D40" s="318" t="s">
        <v>129</v>
      </c>
      <c r="E40" s="4"/>
      <c r="F40" s="4"/>
      <c r="G40" s="4"/>
      <c r="H40" s="4"/>
      <c r="I40" s="4"/>
      <c r="J40" s="4"/>
      <c r="K40" s="4"/>
    </row>
    <row r="41" spans="1:19" x14ac:dyDescent="0.25">
      <c r="A41" s="4"/>
      <c r="B41" s="476" t="s">
        <v>643</v>
      </c>
      <c r="C41" s="4"/>
      <c r="D41" s="4"/>
      <c r="E41" s="4"/>
      <c r="F41" s="4"/>
      <c r="G41" s="4"/>
      <c r="H41" s="4"/>
      <c r="I41" s="4"/>
      <c r="J41" s="4"/>
      <c r="K41" s="4"/>
    </row>
    <row r="42" spans="1:19" ht="12" customHeight="1" x14ac:dyDescent="0.25">
      <c r="A42" s="4"/>
      <c r="B42" s="4"/>
      <c r="C42" s="4"/>
      <c r="D42" s="4"/>
      <c r="E42" s="4"/>
      <c r="F42" s="4"/>
      <c r="G42" s="4"/>
      <c r="H42" s="4"/>
      <c r="I42" s="4"/>
      <c r="J42" s="4"/>
      <c r="K42" s="4"/>
    </row>
    <row r="43" spans="1:19" ht="19.5" customHeight="1" x14ac:dyDescent="0.25">
      <c r="A43" s="4"/>
      <c r="B43" s="474" t="s">
        <v>1659</v>
      </c>
      <c r="C43" s="475" t="str">
        <f>IF(D40="Volume (m3)","Volume (m3)",IF(D40="Mass (kg)","Mass (kg)","Volume/Mass"))</f>
        <v>Volume/Mass</v>
      </c>
      <c r="D43" s="1804" t="s">
        <v>722</v>
      </c>
      <c r="E43" s="1804"/>
      <c r="F43" s="1804" t="s">
        <v>33</v>
      </c>
      <c r="G43" s="1805"/>
      <c r="H43" s="4"/>
      <c r="I43" s="4"/>
      <c r="J43" s="4"/>
      <c r="K43" s="4"/>
    </row>
    <row r="44" spans="1:19" ht="17.25" customHeight="1" x14ac:dyDescent="0.25">
      <c r="A44" s="4"/>
      <c r="B44" s="578"/>
      <c r="C44" s="571"/>
      <c r="D44" s="1796" t="s">
        <v>129</v>
      </c>
      <c r="E44" s="1797"/>
      <c r="F44" s="1798"/>
      <c r="G44" s="1798"/>
      <c r="H44" s="4"/>
      <c r="I44" s="4"/>
      <c r="J44" s="4"/>
      <c r="K44" s="4"/>
      <c r="L44" t="s">
        <v>129</v>
      </c>
      <c r="M44" t="s">
        <v>1565</v>
      </c>
      <c r="N44" t="s">
        <v>1564</v>
      </c>
      <c r="O44" t="s">
        <v>1566</v>
      </c>
      <c r="P44" t="s">
        <v>1567</v>
      </c>
      <c r="Q44" t="s">
        <v>1573</v>
      </c>
      <c r="R44" t="s">
        <v>1901</v>
      </c>
      <c r="S44" t="s">
        <v>9</v>
      </c>
    </row>
    <row r="45" spans="1:19" ht="17.25" customHeight="1" x14ac:dyDescent="0.25">
      <c r="A45" s="4"/>
      <c r="B45" s="578"/>
      <c r="C45" s="570"/>
      <c r="D45" s="1796" t="s">
        <v>129</v>
      </c>
      <c r="E45" s="1797"/>
      <c r="F45" s="1798"/>
      <c r="G45" s="1798"/>
      <c r="H45" s="4"/>
      <c r="I45" s="4"/>
      <c r="J45" s="4"/>
      <c r="K45" s="4"/>
    </row>
    <row r="46" spans="1:19" ht="17.25" customHeight="1" x14ac:dyDescent="0.25">
      <c r="A46" s="4"/>
      <c r="B46" s="578"/>
      <c r="C46" s="570"/>
      <c r="D46" s="1796" t="s">
        <v>129</v>
      </c>
      <c r="E46" s="1797"/>
      <c r="F46" s="1798"/>
      <c r="G46" s="1798"/>
      <c r="H46" s="4"/>
      <c r="I46" s="4"/>
      <c r="J46" s="4"/>
      <c r="K46" s="4"/>
    </row>
    <row r="47" spans="1:19" ht="17.25" customHeight="1" x14ac:dyDescent="0.25">
      <c r="A47" s="4"/>
      <c r="B47" s="857"/>
      <c r="C47" s="858"/>
      <c r="D47" s="1796" t="s">
        <v>129</v>
      </c>
      <c r="E47" s="1797"/>
      <c r="F47" s="1798"/>
      <c r="G47" s="1798"/>
      <c r="H47" s="4"/>
      <c r="I47" s="4"/>
      <c r="J47" s="4"/>
      <c r="K47" s="4"/>
    </row>
    <row r="48" spans="1:19" ht="17.25" customHeight="1" x14ac:dyDescent="0.25">
      <c r="A48" s="4"/>
      <c r="B48" s="857"/>
      <c r="C48" s="858"/>
      <c r="D48" s="1796" t="s">
        <v>129</v>
      </c>
      <c r="E48" s="1797"/>
      <c r="F48" s="1798"/>
      <c r="G48" s="1798"/>
      <c r="H48" s="4"/>
      <c r="I48" s="4"/>
      <c r="J48" s="4"/>
      <c r="K48" s="4"/>
    </row>
    <row r="49" spans="1:11" ht="17.25" customHeight="1" x14ac:dyDescent="0.25">
      <c r="A49" s="4"/>
      <c r="B49" s="857"/>
      <c r="C49" s="858"/>
      <c r="D49" s="1796" t="s">
        <v>129</v>
      </c>
      <c r="E49" s="1797"/>
      <c r="F49" s="1798"/>
      <c r="G49" s="1798"/>
      <c r="H49" s="4"/>
      <c r="I49" s="4"/>
      <c r="J49" s="4"/>
      <c r="K49" s="4"/>
    </row>
    <row r="50" spans="1:11" ht="17.25" customHeight="1" x14ac:dyDescent="0.25">
      <c r="A50" s="4"/>
      <c r="B50" s="857"/>
      <c r="C50" s="858"/>
      <c r="D50" s="1796" t="s">
        <v>129</v>
      </c>
      <c r="E50" s="1797"/>
      <c r="F50" s="1798"/>
      <c r="G50" s="1798"/>
      <c r="H50" s="4"/>
      <c r="I50" s="4"/>
      <c r="J50" s="4"/>
      <c r="K50" s="4"/>
    </row>
    <row r="51" spans="1:11" ht="17.25" customHeight="1" x14ac:dyDescent="0.25">
      <c r="A51" s="4"/>
      <c r="B51" s="857"/>
      <c r="C51" s="858"/>
      <c r="D51" s="1796" t="s">
        <v>129</v>
      </c>
      <c r="E51" s="1797"/>
      <c r="F51" s="1798"/>
      <c r="G51" s="1798"/>
      <c r="H51" s="4"/>
      <c r="I51" s="4"/>
      <c r="J51" s="4"/>
      <c r="K51" s="4"/>
    </row>
    <row r="52" spans="1:11" ht="17.25" customHeight="1" x14ac:dyDescent="0.25">
      <c r="A52" s="4"/>
      <c r="B52" s="578"/>
      <c r="C52" s="570"/>
      <c r="D52" s="1796" t="s">
        <v>129</v>
      </c>
      <c r="E52" s="1797"/>
      <c r="F52" s="1798"/>
      <c r="G52" s="1798"/>
      <c r="H52" s="4"/>
      <c r="I52" s="4"/>
      <c r="J52" s="4"/>
      <c r="K52" s="4"/>
    </row>
    <row r="53" spans="1:11" ht="17.25" customHeight="1" x14ac:dyDescent="0.25">
      <c r="A53" s="4"/>
      <c r="B53" s="578"/>
      <c r="C53" s="570"/>
      <c r="D53" s="1796" t="s">
        <v>129</v>
      </c>
      <c r="E53" s="1797"/>
      <c r="F53" s="1798"/>
      <c r="G53" s="1798"/>
      <c r="H53" s="4"/>
      <c r="I53" s="4"/>
      <c r="J53" s="4"/>
      <c r="K53" s="4"/>
    </row>
    <row r="54" spans="1:11" ht="17.25" customHeight="1" x14ac:dyDescent="0.25">
      <c r="A54" s="4"/>
      <c r="B54" s="578"/>
      <c r="C54" s="570"/>
      <c r="D54" s="1796" t="s">
        <v>129</v>
      </c>
      <c r="E54" s="1797"/>
      <c r="F54" s="1798"/>
      <c r="G54" s="1798"/>
      <c r="H54" s="4"/>
      <c r="I54" s="4"/>
      <c r="J54" s="4"/>
      <c r="K54" s="4"/>
    </row>
    <row r="55" spans="1:11" ht="17.25" customHeight="1" x14ac:dyDescent="0.25">
      <c r="A55" s="4"/>
      <c r="B55" s="578"/>
      <c r="C55" s="570"/>
      <c r="D55" s="1796" t="s">
        <v>129</v>
      </c>
      <c r="E55" s="1797"/>
      <c r="F55" s="1798"/>
      <c r="G55" s="1798"/>
      <c r="H55" s="4"/>
      <c r="I55" s="4"/>
      <c r="J55" s="4"/>
      <c r="K55" s="4"/>
    </row>
    <row r="56" spans="1:11" ht="17.25" customHeight="1" x14ac:dyDescent="0.25">
      <c r="A56" s="4"/>
      <c r="B56" s="578"/>
      <c r="C56" s="570"/>
      <c r="D56" s="1796" t="s">
        <v>129</v>
      </c>
      <c r="E56" s="1797"/>
      <c r="F56" s="1798"/>
      <c r="G56" s="1798"/>
      <c r="H56" s="4"/>
      <c r="I56" s="4"/>
      <c r="J56" s="4"/>
      <c r="K56" s="4"/>
    </row>
    <row r="57" spans="1:11" ht="17.25" customHeight="1" x14ac:dyDescent="0.25">
      <c r="A57" s="4"/>
      <c r="B57" s="578"/>
      <c r="C57" s="570"/>
      <c r="D57" s="1796" t="s">
        <v>129</v>
      </c>
      <c r="E57" s="1797"/>
      <c r="F57" s="1798"/>
      <c r="G57" s="1798"/>
      <c r="H57" s="4"/>
      <c r="I57" s="4"/>
      <c r="J57" s="4"/>
      <c r="K57" s="4"/>
    </row>
    <row r="58" spans="1:11" ht="17.25" customHeight="1" x14ac:dyDescent="0.25">
      <c r="A58" s="4"/>
      <c r="B58" s="578"/>
      <c r="C58" s="570"/>
      <c r="D58" s="1796" t="s">
        <v>129</v>
      </c>
      <c r="E58" s="1797"/>
      <c r="F58" s="1798"/>
      <c r="G58" s="1798"/>
      <c r="H58" s="4"/>
      <c r="I58" s="4"/>
      <c r="J58" s="4"/>
      <c r="K58" s="4"/>
    </row>
    <row r="59" spans="1:11" x14ac:dyDescent="0.25">
      <c r="A59" s="4"/>
      <c r="B59" s="4"/>
      <c r="C59" s="4"/>
      <c r="D59" s="4"/>
      <c r="E59" s="4"/>
      <c r="F59" s="4"/>
      <c r="G59" s="4"/>
      <c r="H59" s="4"/>
      <c r="I59" s="4"/>
      <c r="J59" s="4"/>
      <c r="K59" s="4"/>
    </row>
    <row r="60" spans="1:11" ht="19.5" customHeight="1" x14ac:dyDescent="0.25">
      <c r="A60" s="4"/>
      <c r="B60" s="1809" t="str">
        <f>CONCATENATE("Sustainable structure materials",IF(D40="Volume (m3)"," (m3)",IF(D40="Mass (kg)"," (kg)","")))</f>
        <v>Sustainable structure materials</v>
      </c>
      <c r="C60" s="1810"/>
      <c r="D60" s="481">
        <f ca="1">D61-SUMIF(D44:E58,"Select",C44:C58)-SUMIF(D44:E58,"No",C44:C58)</f>
        <v>0</v>
      </c>
      <c r="E60" s="4"/>
      <c r="F60" s="4"/>
      <c r="G60" s="4"/>
      <c r="H60" s="4"/>
      <c r="I60" s="4"/>
      <c r="J60" s="4"/>
      <c r="K60" s="4"/>
    </row>
    <row r="61" spans="1:11" ht="19.5" customHeight="1" x14ac:dyDescent="0.25">
      <c r="A61" s="4"/>
      <c r="B61" s="1809" t="str">
        <f>CONCATENATE("Total structure materials",IF(D40="Volume (m3)"," (m3)",IF(D40="Mass (kg)"," (kg)","")))</f>
        <v>Total structure materials</v>
      </c>
      <c r="C61" s="1810"/>
      <c r="D61" s="481">
        <f>SUM(C44:C58)</f>
        <v>0</v>
      </c>
      <c r="E61" s="4"/>
      <c r="F61" s="4"/>
      <c r="G61" s="4"/>
      <c r="H61" s="4"/>
      <c r="I61" s="4"/>
      <c r="J61" s="4"/>
      <c r="K61" s="4"/>
    </row>
    <row r="62" spans="1:11" ht="19.5" customHeight="1" x14ac:dyDescent="0.25">
      <c r="A62" s="4"/>
      <c r="B62" s="1809" t="s">
        <v>1086</v>
      </c>
      <c r="C62" s="1810"/>
      <c r="D62" s="321">
        <f ca="1">IFERROR((D60/D61),0)</f>
        <v>0</v>
      </c>
      <c r="E62" s="4"/>
      <c r="F62" s="4"/>
      <c r="G62" s="4"/>
      <c r="H62" s="4"/>
      <c r="I62" s="4"/>
      <c r="J62" s="4"/>
      <c r="K62" s="4"/>
    </row>
    <row r="63" spans="1:11" ht="18" customHeight="1" x14ac:dyDescent="0.25">
      <c r="A63" s="4"/>
      <c r="B63" s="4"/>
      <c r="C63" s="4"/>
      <c r="D63" s="4"/>
      <c r="E63" s="4"/>
      <c r="F63" s="4"/>
      <c r="G63" s="4"/>
      <c r="H63" s="4"/>
      <c r="I63" s="4"/>
      <c r="J63" s="4"/>
      <c r="K63" s="4"/>
    </row>
    <row r="64" spans="1:11" ht="18" customHeight="1" x14ac:dyDescent="0.25">
      <c r="A64" s="1799" t="s">
        <v>200</v>
      </c>
      <c r="B64" s="1799"/>
      <c r="C64" s="1799"/>
      <c r="D64" s="1799"/>
      <c r="E64" s="1799"/>
      <c r="F64" s="1799"/>
      <c r="G64" s="1799"/>
      <c r="H64" s="1799"/>
      <c r="I64" s="1799"/>
      <c r="J64" s="1799"/>
      <c r="K64" s="1799"/>
    </row>
    <row r="65" spans="1:11" x14ac:dyDescent="0.25">
      <c r="A65" s="4"/>
      <c r="B65" s="4"/>
      <c r="C65" s="4"/>
      <c r="D65" s="4"/>
      <c r="E65" s="4"/>
      <c r="F65" s="4"/>
      <c r="G65" s="4"/>
      <c r="H65" s="4"/>
      <c r="I65" s="4"/>
      <c r="J65" s="4"/>
      <c r="K65" s="4"/>
    </row>
    <row r="66" spans="1:11" ht="18" customHeight="1" x14ac:dyDescent="0.25">
      <c r="A66" s="4"/>
      <c r="B66" s="1811" t="s">
        <v>2103</v>
      </c>
      <c r="C66" s="1812"/>
      <c r="D66" s="1812"/>
      <c r="E66" s="1812"/>
      <c r="F66" s="1812"/>
      <c r="G66" s="1079" t="s">
        <v>2101</v>
      </c>
      <c r="H66" s="1804" t="s">
        <v>2102</v>
      </c>
      <c r="I66" s="1805"/>
      <c r="J66" s="4"/>
      <c r="K66" s="4"/>
    </row>
    <row r="67" spans="1:11" ht="24" customHeight="1" x14ac:dyDescent="0.25">
      <c r="A67" s="4"/>
      <c r="B67" s="1436" t="s">
        <v>1860</v>
      </c>
      <c r="C67" s="1437"/>
      <c r="D67" s="1437"/>
      <c r="E67" s="1437"/>
      <c r="F67" s="1438"/>
      <c r="G67" s="518" t="s">
        <v>129</v>
      </c>
      <c r="H67" s="1441"/>
      <c r="I67" s="1442"/>
      <c r="J67" s="4"/>
      <c r="K67" s="4"/>
    </row>
    <row r="68" spans="1:11" ht="24" customHeight="1" x14ac:dyDescent="0.25">
      <c r="A68" s="4"/>
      <c r="B68" s="1436" t="s">
        <v>1861</v>
      </c>
      <c r="C68" s="1437"/>
      <c r="D68" s="1437"/>
      <c r="E68" s="1437"/>
      <c r="F68" s="1438"/>
      <c r="G68" s="573" t="s">
        <v>129</v>
      </c>
      <c r="H68" s="1441"/>
      <c r="I68" s="1442"/>
      <c r="J68" s="4"/>
      <c r="K68" s="4"/>
    </row>
    <row r="69" spans="1:11" ht="18" customHeight="1" x14ac:dyDescent="0.25">
      <c r="A69" s="4"/>
      <c r="B69" s="4"/>
      <c r="C69" s="4"/>
      <c r="D69" s="4"/>
      <c r="E69" s="4"/>
      <c r="F69" s="4"/>
      <c r="G69" s="4"/>
      <c r="H69" s="4"/>
      <c r="I69" s="4"/>
      <c r="J69" s="4"/>
      <c r="K69" s="4"/>
    </row>
    <row r="70" spans="1:11" ht="17.25" customHeight="1" x14ac:dyDescent="0.25">
      <c r="A70" s="1799" t="s">
        <v>25</v>
      </c>
      <c r="B70" s="1799"/>
      <c r="C70" s="1799"/>
      <c r="D70" s="1799"/>
      <c r="E70" s="1799"/>
      <c r="F70" s="1799"/>
      <c r="G70" s="1799"/>
      <c r="H70" s="1799"/>
      <c r="I70" s="1799"/>
      <c r="J70" s="1799"/>
      <c r="K70" s="1799"/>
    </row>
    <row r="71" spans="1:11" x14ac:dyDescent="0.25">
      <c r="A71" s="4"/>
      <c r="B71" s="4"/>
      <c r="C71" s="4"/>
      <c r="D71" s="4"/>
      <c r="E71" s="4"/>
      <c r="F71" s="4"/>
      <c r="G71" s="4"/>
      <c r="H71" s="4"/>
      <c r="I71" s="4"/>
      <c r="J71" s="4"/>
      <c r="K71" s="4"/>
    </row>
    <row r="72" spans="1:11" ht="18" customHeight="1" x14ac:dyDescent="0.25">
      <c r="A72" s="4"/>
      <c r="B72" s="315" t="s">
        <v>56</v>
      </c>
      <c r="C72" s="1193">
        <f ca="1">IF(D62&gt;=0.8,3,IF(D62&gt;=0.6,2,IF(D62&gt;=0.4,1,0)))</f>
        <v>0</v>
      </c>
      <c r="D72" s="4"/>
      <c r="E72" s="4"/>
      <c r="F72" s="4"/>
      <c r="G72" s="4"/>
      <c r="H72" s="4"/>
      <c r="I72" s="4"/>
      <c r="J72" s="4"/>
      <c r="K72" s="4"/>
    </row>
    <row r="73" spans="1:11" ht="18" customHeight="1" x14ac:dyDescent="0.25">
      <c r="A73" s="4"/>
      <c r="B73" s="316" t="s">
        <v>521</v>
      </c>
      <c r="C73" s="1193" t="str">
        <f ca="1">IF(AND(COUNTIF(G67:G68,"Submitted")=2,C72&gt;0),"Yes","No")</f>
        <v>No</v>
      </c>
      <c r="D73" s="4"/>
      <c r="E73" s="4"/>
      <c r="F73" s="4"/>
      <c r="G73" s="4"/>
      <c r="H73" s="4"/>
      <c r="I73" s="4"/>
      <c r="J73" s="4"/>
      <c r="K73" s="4"/>
    </row>
    <row r="74" spans="1:11" ht="18" customHeight="1" x14ac:dyDescent="0.25">
      <c r="A74" s="13"/>
      <c r="B74" s="13"/>
      <c r="C74" s="13"/>
      <c r="D74" s="13"/>
      <c r="E74" s="13"/>
      <c r="F74" s="13"/>
      <c r="G74" s="13"/>
      <c r="H74" s="13"/>
      <c r="I74" s="13"/>
      <c r="J74" s="13"/>
      <c r="K74" s="13"/>
    </row>
    <row r="75" spans="1:11" ht="15" hidden="1" customHeight="1" x14ac:dyDescent="0.25"/>
    <row r="76" spans="1:11" ht="15" hidden="1" customHeight="1" x14ac:dyDescent="0.25"/>
    <row r="77" spans="1:11" ht="15" hidden="1" customHeight="1" x14ac:dyDescent="0.25"/>
    <row r="78" spans="1:11" ht="15" hidden="1" customHeight="1" x14ac:dyDescent="0.25"/>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sheetData>
  <sheetProtection algorithmName="SHA-512" hashValue="E2bcaPK/38Qin1CwW0ucRDOPRnn2NWdnhtymihKfipUUeTKk2FH5T+b5CENljGPdrqaNRVJDyTe/NsZ7bf1k7g==" saltValue="wyFOJIpNIDgLRwCVz8lA+Q==" spinCount="100000" sheet="1" objects="1" scenarios="1"/>
  <mergeCells count="59">
    <mergeCell ref="F57:G57"/>
    <mergeCell ref="F49:G49"/>
    <mergeCell ref="B67:F67"/>
    <mergeCell ref="A64:K64"/>
    <mergeCell ref="D58:E58"/>
    <mergeCell ref="F58:G58"/>
    <mergeCell ref="B60:C60"/>
    <mergeCell ref="B61:C61"/>
    <mergeCell ref="B62:C62"/>
    <mergeCell ref="B66:F66"/>
    <mergeCell ref="H66:I66"/>
    <mergeCell ref="H67:I67"/>
    <mergeCell ref="A5:K7"/>
    <mergeCell ref="B11:E11"/>
    <mergeCell ref="B12:E12"/>
    <mergeCell ref="D43:E43"/>
    <mergeCell ref="F43:G43"/>
    <mergeCell ref="A34:K34"/>
    <mergeCell ref="A9:K9"/>
    <mergeCell ref="A14:K14"/>
    <mergeCell ref="B27:H27"/>
    <mergeCell ref="B28:H28"/>
    <mergeCell ref="B29:H29"/>
    <mergeCell ref="B30:H30"/>
    <mergeCell ref="B31:H31"/>
    <mergeCell ref="B32:H32"/>
    <mergeCell ref="B26:H26"/>
    <mergeCell ref="A70:K70"/>
    <mergeCell ref="B68:F68"/>
    <mergeCell ref="B40:C40"/>
    <mergeCell ref="D44:E44"/>
    <mergeCell ref="F44:G44"/>
    <mergeCell ref="D46:E46"/>
    <mergeCell ref="F46:G46"/>
    <mergeCell ref="D52:E52"/>
    <mergeCell ref="F52:G52"/>
    <mergeCell ref="D45:E45"/>
    <mergeCell ref="F45:G45"/>
    <mergeCell ref="F53:G53"/>
    <mergeCell ref="F54:G54"/>
    <mergeCell ref="F55:G55"/>
    <mergeCell ref="F56:G56"/>
    <mergeCell ref="H68:I68"/>
    <mergeCell ref="A1:K1"/>
    <mergeCell ref="D56:E56"/>
    <mergeCell ref="D57:E57"/>
    <mergeCell ref="D53:E53"/>
    <mergeCell ref="D54:E54"/>
    <mergeCell ref="D55:E55"/>
    <mergeCell ref="D50:E50"/>
    <mergeCell ref="F50:G50"/>
    <mergeCell ref="D51:E51"/>
    <mergeCell ref="F51:G51"/>
    <mergeCell ref="D47:E47"/>
    <mergeCell ref="F47:G47"/>
    <mergeCell ref="D48:E48"/>
    <mergeCell ref="F48:G48"/>
    <mergeCell ref="D49:E49"/>
    <mergeCell ref="H2:I4"/>
  </mergeCells>
  <conditionalFormatting sqref="G67">
    <cfRule type="expression" dxfId="180" priority="6">
      <formula>#REF!&lt;&gt;"Prescriptive Path"</formula>
    </cfRule>
  </conditionalFormatting>
  <conditionalFormatting sqref="G68">
    <cfRule type="expression" dxfId="179" priority="4">
      <formula>#REF!&lt;&gt;"Prescriptive Path"</formula>
    </cfRule>
  </conditionalFormatting>
  <conditionalFormatting sqref="F12 B12">
    <cfRule type="expression" dxfId="178" priority="518">
      <formula>OR(#REF!="No",#REF!="Không")</formula>
    </cfRule>
  </conditionalFormatting>
  <conditionalFormatting sqref="B12 F12">
    <cfRule type="expression" dxfId="177" priority="520">
      <formula>OR($D12="No",$D12="Không")</formula>
    </cfRule>
    <cfRule type="expression" dxfId="176" priority="521">
      <formula>OR(#REF!="No",#REF!="Không")</formula>
    </cfRule>
  </conditionalFormatting>
  <conditionalFormatting sqref="H66:I66">
    <cfRule type="expression" dxfId="175" priority="3">
      <formula>#REF!&lt;&gt;"Prescriptive Path"</formula>
    </cfRule>
  </conditionalFormatting>
  <conditionalFormatting sqref="I67">
    <cfRule type="expression" dxfId="174" priority="2">
      <formula>#REF!&lt;&gt;"Prescriptive Path"</formula>
    </cfRule>
  </conditionalFormatting>
  <conditionalFormatting sqref="I68">
    <cfRule type="expression" dxfId="173" priority="1">
      <formula>#REF!&lt;&gt;"Prescriptive Path"</formula>
    </cfRule>
  </conditionalFormatting>
  <dataValidations count="6">
    <dataValidation type="list" allowBlank="1" showInputMessage="1" showErrorMessage="1" sqref="D40">
      <formula1>"Select,Volume (m3),Mass (kg)"</formula1>
    </dataValidation>
    <dataValidation allowBlank="1" showInputMessage="1" showErrorMessage="1" prompt="Provide more details on the flooring material used" sqref="F43:G43"/>
    <dataValidation type="list" allowBlank="1" showInputMessage="1" showErrorMessage="1" sqref="G67:G68">
      <formula1>"Select,Submitted,Not submitted"</formula1>
    </dataValidation>
    <dataValidation allowBlank="1" showInputMessage="1" showErrorMessage="1" prompt="Enter the name of the building structure material" sqref="B44:B58"/>
    <dataValidation allowBlank="1" showInputMessage="1" showErrorMessage="1" prompt="Provide more details on the sustainable feature of the building structure material" sqref="F44:G58"/>
    <dataValidation type="list" allowBlank="1" showInputMessage="1" showErrorMessage="1" sqref="D44:E58">
      <formula1>$L$44:$S$44</formula1>
    </dataValidation>
  </dataValidations>
  <hyperlinks>
    <hyperlink ref="K2" location="'M-5 Roofing materials'!D3" tooltip="M-5" display="M-5"/>
    <hyperlink ref="K3" location="'M-6 Furniture'!D3" tooltip="M-6" display="M-6"/>
    <hyperlink ref="J4" location="'M-4 Flooring materials'!D3" tooltip="M-4" display="M-4"/>
    <hyperlink ref="J3" location="'M-3 Windows and doors'!D3" tooltip="M-3" display="M-3"/>
    <hyperlink ref="J2" location="'M-2 Non-structural walls'!D3" tooltip="M-2" display="M-2"/>
  </hyperlinks>
  <pageMargins left="0.7" right="0.7" top="0.75" bottom="0.75" header="0.3" footer="0.3"/>
  <pageSetup orientation="portrait"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5F4970"/>
  </sheetPr>
  <dimension ref="A1:S210"/>
  <sheetViews>
    <sheetView showRowColHeaders="0" workbookViewId="0">
      <pane ySplit="7" topLeftCell="A9" activePane="bottomLeft" state="frozen"/>
      <selection pane="bottomLeft" activeCell="A9" sqref="A9:K9"/>
    </sheetView>
  </sheetViews>
  <sheetFormatPr defaultColWidth="0" defaultRowHeight="15" customHeight="1" zeroHeight="1" x14ac:dyDescent="0.25"/>
  <cols>
    <col min="1" max="1" width="3.7109375" customWidth="1"/>
    <col min="2" max="2" width="23.140625" customWidth="1"/>
    <col min="3" max="3" width="21.5703125" customWidth="1"/>
    <col min="4" max="4" width="20.28515625" customWidth="1"/>
    <col min="5" max="5" width="15.140625" customWidth="1"/>
    <col min="6" max="6" width="20.7109375" customWidth="1"/>
    <col min="7" max="8" width="17.7109375" customWidth="1"/>
    <col min="9" max="9" width="10.85546875" customWidth="1"/>
    <col min="10" max="11" width="8.7109375" customWidth="1"/>
    <col min="12" max="16384" width="9.140625" hidden="1"/>
  </cols>
  <sheetData>
    <row r="1" spans="1:13" ht="24" customHeight="1" x14ac:dyDescent="0.25">
      <c r="A1" s="1795" t="s">
        <v>1952</v>
      </c>
      <c r="B1" s="1795"/>
      <c r="C1" s="1795"/>
      <c r="D1" s="1795"/>
      <c r="E1" s="1795"/>
      <c r="F1" s="1795"/>
      <c r="G1" s="1795"/>
      <c r="H1" s="1795"/>
      <c r="I1" s="1795"/>
      <c r="J1" s="1795"/>
      <c r="K1" s="1795"/>
    </row>
    <row r="2" spans="1:13" ht="15" customHeight="1" x14ac:dyDescent="0.25">
      <c r="A2" s="4"/>
      <c r="B2" s="4"/>
      <c r="C2" s="4"/>
      <c r="D2" s="4"/>
      <c r="E2" s="4"/>
      <c r="F2" s="4"/>
      <c r="G2" s="5"/>
      <c r="H2" s="1426" t="s">
        <v>2107</v>
      </c>
      <c r="I2" s="1426"/>
      <c r="J2" s="833" t="s">
        <v>59</v>
      </c>
      <c r="K2" s="833" t="s">
        <v>75</v>
      </c>
    </row>
    <row r="3" spans="1:13" x14ac:dyDescent="0.25">
      <c r="A3" s="4"/>
      <c r="B3" s="4"/>
      <c r="C3" s="4"/>
      <c r="D3" s="4"/>
      <c r="E3" s="4"/>
      <c r="F3" s="4"/>
      <c r="G3" s="5"/>
      <c r="H3" s="1426"/>
      <c r="I3" s="1426"/>
      <c r="J3" s="833" t="s">
        <v>67</v>
      </c>
      <c r="K3" s="833" t="s">
        <v>641</v>
      </c>
    </row>
    <row r="4" spans="1:13" ht="15" customHeight="1" x14ac:dyDescent="0.25">
      <c r="A4" s="4"/>
      <c r="B4" s="4"/>
      <c r="C4" s="4"/>
      <c r="D4" s="4"/>
      <c r="E4" s="4"/>
      <c r="F4" s="4"/>
      <c r="G4" s="5"/>
      <c r="H4" s="1427"/>
      <c r="I4" s="1427"/>
      <c r="J4" s="833" t="s">
        <v>71</v>
      </c>
      <c r="K4" s="833"/>
    </row>
    <row r="5" spans="1:13" s="42" customFormat="1" ht="18" customHeight="1" x14ac:dyDescent="0.25">
      <c r="A5" s="1417" t="s">
        <v>2412</v>
      </c>
      <c r="B5" s="1418"/>
      <c r="C5" s="1418"/>
      <c r="D5" s="1418"/>
      <c r="E5" s="1418"/>
      <c r="F5" s="1418"/>
      <c r="G5" s="1418"/>
      <c r="H5" s="1418"/>
      <c r="I5" s="1418"/>
      <c r="J5" s="1418"/>
      <c r="K5" s="1419"/>
      <c r="L5"/>
      <c r="M5"/>
    </row>
    <row r="6" spans="1:13" s="42" customFormat="1" ht="18" customHeight="1" x14ac:dyDescent="0.25">
      <c r="A6" s="1420"/>
      <c r="B6" s="1421"/>
      <c r="C6" s="1421"/>
      <c r="D6" s="1421"/>
      <c r="E6" s="1421"/>
      <c r="F6" s="1421"/>
      <c r="G6" s="1421"/>
      <c r="H6" s="1421"/>
      <c r="I6" s="1421"/>
      <c r="J6" s="1421"/>
      <c r="K6" s="1422"/>
      <c r="L6"/>
      <c r="M6"/>
    </row>
    <row r="7" spans="1:13" s="42" customFormat="1" ht="18" customHeight="1" x14ac:dyDescent="0.25">
      <c r="A7" s="1423"/>
      <c r="B7" s="1424"/>
      <c r="C7" s="1424"/>
      <c r="D7" s="1424"/>
      <c r="E7" s="1424"/>
      <c r="F7" s="1424"/>
      <c r="G7" s="1424"/>
      <c r="H7" s="1424"/>
      <c r="I7" s="1424"/>
      <c r="J7" s="1424"/>
      <c r="K7" s="1425"/>
      <c r="L7"/>
      <c r="M7"/>
    </row>
    <row r="8" spans="1:13" s="42" customFormat="1" ht="10.5" customHeight="1" x14ac:dyDescent="0.25">
      <c r="A8" s="53"/>
      <c r="B8" s="54"/>
      <c r="C8" s="54"/>
      <c r="D8" s="54"/>
      <c r="E8" s="54"/>
      <c r="F8" s="53"/>
      <c r="G8" s="53"/>
      <c r="H8" s="53"/>
      <c r="I8" s="53"/>
      <c r="J8" s="53"/>
      <c r="K8" s="53"/>
      <c r="L8"/>
      <c r="M8"/>
    </row>
    <row r="9" spans="1:13" ht="18" customHeight="1" x14ac:dyDescent="0.25">
      <c r="A9" s="1799" t="s">
        <v>191</v>
      </c>
      <c r="B9" s="1799"/>
      <c r="C9" s="1799"/>
      <c r="D9" s="1799"/>
      <c r="E9" s="1799"/>
      <c r="F9" s="1799"/>
      <c r="G9" s="1799"/>
      <c r="H9" s="1799"/>
      <c r="I9" s="1799"/>
      <c r="J9" s="1799"/>
      <c r="K9" s="1799"/>
    </row>
    <row r="10" spans="1:13" ht="16.5" customHeight="1" x14ac:dyDescent="0.25">
      <c r="A10" s="5"/>
      <c r="B10" s="4"/>
      <c r="C10" s="4"/>
      <c r="D10" s="4"/>
      <c r="E10" s="4"/>
      <c r="F10" s="5"/>
      <c r="G10" s="5"/>
      <c r="H10" s="5"/>
      <c r="I10" s="5"/>
      <c r="J10" s="5"/>
      <c r="K10" s="5"/>
    </row>
    <row r="11" spans="1:13" ht="19.5" customHeight="1" x14ac:dyDescent="0.25">
      <c r="A11" s="5"/>
      <c r="B11" s="1802" t="s">
        <v>192</v>
      </c>
      <c r="C11" s="1803"/>
      <c r="D11" s="1803"/>
      <c r="E11" s="1803"/>
      <c r="F11" s="480" t="s">
        <v>157</v>
      </c>
      <c r="G11" s="480" t="s">
        <v>56</v>
      </c>
      <c r="H11" s="317" t="s">
        <v>521</v>
      </c>
      <c r="I11" s="5"/>
      <c r="J11" s="5"/>
      <c r="K11" s="5"/>
    </row>
    <row r="12" spans="1:13" ht="42" customHeight="1" x14ac:dyDescent="0.25">
      <c r="A12" s="5"/>
      <c r="B12" s="1474" t="s">
        <v>1011</v>
      </c>
      <c r="C12" s="1475"/>
      <c r="D12" s="1475"/>
      <c r="E12" s="1476"/>
      <c r="F12" s="40">
        <v>3</v>
      </c>
      <c r="G12" s="298">
        <f ca="1">C76</f>
        <v>0</v>
      </c>
      <c r="H12" s="298" t="str">
        <f ca="1">C77</f>
        <v>No</v>
      </c>
      <c r="I12" s="5"/>
      <c r="J12" s="5"/>
      <c r="K12" s="5"/>
    </row>
    <row r="13" spans="1:13" ht="16.5" customHeight="1" x14ac:dyDescent="0.25">
      <c r="A13" s="5"/>
      <c r="B13" s="4"/>
      <c r="C13" s="4"/>
      <c r="D13" s="4"/>
      <c r="E13" s="4"/>
      <c r="F13" s="5"/>
      <c r="G13" s="5"/>
      <c r="H13" s="5"/>
      <c r="I13" s="5"/>
      <c r="J13" s="5"/>
      <c r="K13" s="5"/>
    </row>
    <row r="14" spans="1:13" ht="18" customHeight="1" x14ac:dyDescent="0.25">
      <c r="A14" s="1799" t="s">
        <v>265</v>
      </c>
      <c r="B14" s="1799"/>
      <c r="C14" s="1799"/>
      <c r="D14" s="1799"/>
      <c r="E14" s="1799"/>
      <c r="F14" s="1799"/>
      <c r="G14" s="1799"/>
      <c r="H14" s="1799"/>
      <c r="I14" s="1799"/>
      <c r="J14" s="1799"/>
      <c r="K14" s="1799"/>
    </row>
    <row r="15" spans="1:13" x14ac:dyDescent="0.25">
      <c r="A15" s="4"/>
      <c r="B15" s="4"/>
      <c r="C15" s="4"/>
      <c r="D15" s="4"/>
      <c r="E15" s="4"/>
      <c r="F15" s="4"/>
      <c r="G15" s="4"/>
      <c r="H15" s="4"/>
      <c r="I15" s="4"/>
      <c r="J15" s="4"/>
      <c r="K15" s="4"/>
    </row>
    <row r="16" spans="1:13" x14ac:dyDescent="0.25">
      <c r="A16" s="4"/>
      <c r="B16" s="661" t="s">
        <v>1557</v>
      </c>
      <c r="C16" s="4"/>
      <c r="D16" s="4"/>
      <c r="E16" s="4"/>
      <c r="F16" s="4"/>
      <c r="G16" s="4"/>
      <c r="H16" s="4"/>
      <c r="I16" s="4"/>
      <c r="J16" s="4"/>
      <c r="K16" s="4"/>
    </row>
    <row r="17" spans="1:11" ht="16.5" customHeight="1" x14ac:dyDescent="0.25">
      <c r="A17" s="4"/>
      <c r="B17" s="4"/>
      <c r="C17" s="4"/>
      <c r="D17" s="4"/>
      <c r="E17" s="4"/>
      <c r="F17" s="4"/>
      <c r="G17" s="4"/>
      <c r="H17" s="4"/>
      <c r="I17" s="4"/>
      <c r="J17" s="4"/>
      <c r="K17" s="4"/>
    </row>
    <row r="18" spans="1:11" x14ac:dyDescent="0.25">
      <c r="A18" s="4"/>
      <c r="B18" s="660" t="s">
        <v>867</v>
      </c>
      <c r="C18" s="4"/>
      <c r="D18" s="4"/>
      <c r="E18" s="4"/>
      <c r="F18" s="4"/>
      <c r="G18" s="4"/>
      <c r="H18" s="4"/>
      <c r="I18" s="4"/>
      <c r="J18" s="4"/>
      <c r="K18" s="4"/>
    </row>
    <row r="19" spans="1:11" x14ac:dyDescent="0.25">
      <c r="A19" s="4"/>
      <c r="B19" s="671" t="s">
        <v>874</v>
      </c>
      <c r="C19" s="4"/>
      <c r="D19" s="4"/>
      <c r="E19" s="4"/>
      <c r="F19" s="4"/>
      <c r="G19" s="4"/>
      <c r="H19" s="4"/>
      <c r="I19" s="4"/>
      <c r="J19" s="4"/>
      <c r="K19" s="4"/>
    </row>
    <row r="20" spans="1:11" x14ac:dyDescent="0.25">
      <c r="A20" s="4"/>
      <c r="B20" s="671" t="s">
        <v>866</v>
      </c>
      <c r="C20" s="4"/>
      <c r="D20" s="4"/>
      <c r="E20" s="4"/>
      <c r="F20" s="4"/>
      <c r="G20" s="4"/>
      <c r="H20" s="4"/>
      <c r="I20" s="4"/>
      <c r="J20" s="4"/>
      <c r="K20" s="4"/>
    </row>
    <row r="21" spans="1:11" x14ac:dyDescent="0.25">
      <c r="A21" s="4"/>
      <c r="B21" s="671" t="s">
        <v>871</v>
      </c>
      <c r="C21" s="4"/>
      <c r="D21" s="4"/>
      <c r="E21" s="4"/>
      <c r="F21" s="4"/>
      <c r="G21" s="4"/>
      <c r="H21" s="4"/>
      <c r="I21" s="4"/>
      <c r="J21" s="4"/>
      <c r="K21" s="4"/>
    </row>
    <row r="22" spans="1:11" x14ac:dyDescent="0.25">
      <c r="A22" s="4"/>
      <c r="B22" s="671" t="s">
        <v>1141</v>
      </c>
      <c r="C22" s="4"/>
      <c r="D22" s="4"/>
      <c r="E22" s="4"/>
      <c r="F22" s="4"/>
      <c r="G22" s="4"/>
      <c r="H22" s="4"/>
      <c r="I22" s="4"/>
      <c r="J22" s="4"/>
      <c r="K22" s="4"/>
    </row>
    <row r="23" spans="1:11" x14ac:dyDescent="0.25">
      <c r="A23" s="4"/>
      <c r="B23" s="671"/>
      <c r="C23" s="4"/>
      <c r="D23" s="4"/>
      <c r="E23" s="4"/>
      <c r="F23" s="4"/>
      <c r="G23" s="4"/>
      <c r="H23" s="4"/>
      <c r="I23" s="4"/>
      <c r="J23" s="4"/>
      <c r="K23" s="4"/>
    </row>
    <row r="24" spans="1:11" x14ac:dyDescent="0.25">
      <c r="A24" s="4"/>
      <c r="B24" s="660" t="s">
        <v>869</v>
      </c>
      <c r="C24" s="4"/>
      <c r="D24" s="4"/>
      <c r="E24" s="4"/>
      <c r="F24" s="4"/>
      <c r="G24" s="4"/>
      <c r="H24" s="4"/>
      <c r="I24" s="4"/>
      <c r="J24" s="4"/>
      <c r="K24" s="4"/>
    </row>
    <row r="25" spans="1:11" x14ac:dyDescent="0.25">
      <c r="A25" s="4"/>
      <c r="B25" s="671" t="s">
        <v>870</v>
      </c>
      <c r="C25" s="4"/>
      <c r="D25" s="4"/>
      <c r="E25" s="4"/>
      <c r="F25" s="4"/>
      <c r="G25" s="4"/>
      <c r="H25" s="4"/>
      <c r="I25" s="4"/>
      <c r="J25" s="4"/>
      <c r="K25" s="4"/>
    </row>
    <row r="26" spans="1:11" x14ac:dyDescent="0.25">
      <c r="A26" s="4"/>
      <c r="B26" s="671" t="s">
        <v>872</v>
      </c>
      <c r="C26" s="4"/>
      <c r="D26" s="4"/>
      <c r="E26" s="4"/>
      <c r="F26" s="4"/>
      <c r="G26" s="4"/>
      <c r="H26" s="4"/>
      <c r="I26" s="4"/>
      <c r="J26" s="4"/>
      <c r="K26" s="4"/>
    </row>
    <row r="27" spans="1:11" x14ac:dyDescent="0.25">
      <c r="A27" s="4"/>
      <c r="B27" s="4"/>
      <c r="C27" s="4"/>
      <c r="D27" s="4"/>
      <c r="E27" s="4"/>
      <c r="F27" s="4"/>
      <c r="G27" s="4"/>
      <c r="H27" s="4"/>
      <c r="I27" s="4"/>
      <c r="J27" s="4"/>
      <c r="K27" s="4"/>
    </row>
    <row r="28" spans="1:11" x14ac:dyDescent="0.25">
      <c r="A28" s="4"/>
      <c r="B28" s="668" t="s">
        <v>868</v>
      </c>
      <c r="C28" s="662"/>
      <c r="D28" s="662"/>
      <c r="E28" s="662"/>
      <c r="F28" s="662"/>
      <c r="G28" s="662"/>
      <c r="H28" s="663"/>
      <c r="I28" s="4"/>
      <c r="J28" s="4"/>
      <c r="K28" s="4"/>
    </row>
    <row r="29" spans="1:11" x14ac:dyDescent="0.25">
      <c r="A29" s="4"/>
      <c r="B29" s="1491" t="s">
        <v>1142</v>
      </c>
      <c r="C29" s="1492"/>
      <c r="D29" s="1492"/>
      <c r="E29" s="1492"/>
      <c r="F29" s="1492"/>
      <c r="G29" s="1492"/>
      <c r="H29" s="1493"/>
      <c r="I29" s="4"/>
      <c r="J29" s="4"/>
      <c r="K29" s="4"/>
    </row>
    <row r="30" spans="1:11" x14ac:dyDescent="0.25">
      <c r="A30" s="4"/>
      <c r="B30" s="1491" t="s">
        <v>1128</v>
      </c>
      <c r="C30" s="1492"/>
      <c r="D30" s="1492"/>
      <c r="E30" s="1492"/>
      <c r="F30" s="1492"/>
      <c r="G30" s="1492"/>
      <c r="H30" s="1493"/>
      <c r="I30" s="4"/>
      <c r="J30" s="4"/>
      <c r="K30" s="4"/>
    </row>
    <row r="31" spans="1:11" x14ac:dyDescent="0.25">
      <c r="A31" s="4"/>
      <c r="B31" s="1491" t="s">
        <v>850</v>
      </c>
      <c r="C31" s="1492"/>
      <c r="D31" s="1492"/>
      <c r="E31" s="1492"/>
      <c r="F31" s="1492"/>
      <c r="G31" s="1492"/>
      <c r="H31" s="1493"/>
      <c r="I31" s="4"/>
      <c r="J31" s="4"/>
      <c r="K31" s="4"/>
    </row>
    <row r="32" spans="1:11" x14ac:dyDescent="0.25">
      <c r="A32" s="4"/>
      <c r="B32" s="1491" t="s">
        <v>851</v>
      </c>
      <c r="C32" s="1492"/>
      <c r="D32" s="1492"/>
      <c r="E32" s="1492"/>
      <c r="F32" s="1492"/>
      <c r="G32" s="1492"/>
      <c r="H32" s="1493"/>
      <c r="I32" s="4"/>
      <c r="J32" s="4"/>
      <c r="K32" s="4"/>
    </row>
    <row r="33" spans="1:19" x14ac:dyDescent="0.25">
      <c r="A33" s="4"/>
      <c r="B33" s="1491" t="s">
        <v>1129</v>
      </c>
      <c r="C33" s="1492"/>
      <c r="D33" s="1492"/>
      <c r="E33" s="1492"/>
      <c r="F33" s="1492"/>
      <c r="G33" s="1492"/>
      <c r="H33" s="1493"/>
      <c r="I33" s="4"/>
      <c r="J33" s="4"/>
      <c r="K33" s="4"/>
    </row>
    <row r="34" spans="1:19" x14ac:dyDescent="0.25">
      <c r="A34" s="4"/>
      <c r="B34" s="1491" t="s">
        <v>1900</v>
      </c>
      <c r="C34" s="1492"/>
      <c r="D34" s="1492"/>
      <c r="E34" s="1492"/>
      <c r="F34" s="1492"/>
      <c r="G34" s="1492"/>
      <c r="H34" s="1493"/>
      <c r="I34" s="4"/>
      <c r="J34" s="4"/>
      <c r="K34" s="4"/>
    </row>
    <row r="35" spans="1:19" x14ac:dyDescent="0.25">
      <c r="A35" s="4"/>
      <c r="B35" s="1498" t="s">
        <v>2118</v>
      </c>
      <c r="C35" s="1499"/>
      <c r="D35" s="1499"/>
      <c r="E35" s="1499"/>
      <c r="F35" s="1499"/>
      <c r="G35" s="1499"/>
      <c r="H35" s="1500"/>
      <c r="I35" s="4"/>
      <c r="J35" s="4"/>
      <c r="K35" s="4"/>
    </row>
    <row r="36" spans="1:19" ht="19.5" customHeight="1" x14ac:dyDescent="0.25">
      <c r="A36" s="4"/>
      <c r="B36" s="4"/>
      <c r="C36" s="4"/>
      <c r="D36" s="4"/>
      <c r="E36" s="4"/>
      <c r="F36" s="4"/>
      <c r="G36" s="4"/>
      <c r="H36" s="4"/>
      <c r="I36" s="4"/>
      <c r="J36" s="4"/>
      <c r="K36" s="4"/>
    </row>
    <row r="37" spans="1:19" ht="18" customHeight="1" x14ac:dyDescent="0.25">
      <c r="A37" s="1799" t="s">
        <v>26</v>
      </c>
      <c r="B37" s="1799"/>
      <c r="C37" s="1799"/>
      <c r="D37" s="1799"/>
      <c r="E37" s="1799"/>
      <c r="F37" s="1799"/>
      <c r="G37" s="1799"/>
      <c r="H37" s="1799"/>
      <c r="I37" s="1799"/>
      <c r="J37" s="1799"/>
      <c r="K37" s="1799"/>
    </row>
    <row r="38" spans="1:19" x14ac:dyDescent="0.25">
      <c r="A38" s="4"/>
      <c r="B38" s="4"/>
      <c r="C38" s="4"/>
      <c r="D38" s="4"/>
      <c r="E38" s="4"/>
      <c r="F38" s="4"/>
      <c r="G38" s="4"/>
      <c r="H38" s="4"/>
      <c r="I38" s="4"/>
      <c r="J38" s="4"/>
      <c r="K38" s="4"/>
    </row>
    <row r="39" spans="1:19" x14ac:dyDescent="0.25">
      <c r="A39" s="4"/>
      <c r="B39" s="836" t="s">
        <v>1559</v>
      </c>
      <c r="C39" s="4"/>
      <c r="D39" s="4"/>
      <c r="E39" s="4"/>
      <c r="F39" s="4"/>
      <c r="G39" s="4"/>
      <c r="H39" s="4"/>
      <c r="I39" s="4"/>
      <c r="J39" s="4"/>
      <c r="K39" s="4"/>
    </row>
    <row r="40" spans="1:19" x14ac:dyDescent="0.25">
      <c r="A40" s="4"/>
      <c r="B40" s="322"/>
      <c r="C40" s="4"/>
      <c r="D40" s="4"/>
      <c r="E40" s="4"/>
      <c r="F40" s="4"/>
      <c r="G40" s="4"/>
      <c r="H40" s="4"/>
      <c r="I40" s="4"/>
      <c r="J40" s="4"/>
      <c r="K40" s="4"/>
    </row>
    <row r="41" spans="1:19" x14ac:dyDescent="0.25">
      <c r="A41" s="4"/>
      <c r="B41" s="836" t="s">
        <v>1121</v>
      </c>
      <c r="C41" s="4"/>
      <c r="D41" s="4"/>
      <c r="E41" s="4"/>
      <c r="F41" s="4"/>
      <c r="G41" s="4"/>
      <c r="H41" s="4"/>
      <c r="I41" s="4"/>
      <c r="J41" s="4"/>
      <c r="K41" s="4"/>
    </row>
    <row r="42" spans="1:19" x14ac:dyDescent="0.25">
      <c r="A42" s="4"/>
      <c r="B42" s="836" t="s">
        <v>1143</v>
      </c>
      <c r="C42" s="4"/>
      <c r="D42" s="4"/>
      <c r="E42" s="4"/>
      <c r="F42" s="4"/>
      <c r="G42" s="4"/>
      <c r="H42" s="4"/>
      <c r="I42" s="4"/>
      <c r="J42" s="4"/>
      <c r="K42" s="4"/>
    </row>
    <row r="43" spans="1:19" x14ac:dyDescent="0.25">
      <c r="A43" s="4"/>
      <c r="B43" s="838" t="s">
        <v>1561</v>
      </c>
      <c r="C43" s="4"/>
      <c r="D43" s="4"/>
      <c r="E43" s="4"/>
      <c r="F43" s="4"/>
      <c r="G43" s="4"/>
      <c r="H43" s="4"/>
      <c r="I43" s="4"/>
      <c r="J43" s="4"/>
      <c r="K43" s="4"/>
    </row>
    <row r="44" spans="1:19" x14ac:dyDescent="0.25">
      <c r="A44" s="4"/>
      <c r="B44" s="838"/>
      <c r="C44" s="4"/>
      <c r="D44" s="4"/>
      <c r="E44" s="4"/>
      <c r="F44" s="4"/>
      <c r="G44" s="4"/>
      <c r="H44" s="4"/>
      <c r="I44" s="4"/>
      <c r="J44" s="4"/>
      <c r="K44" s="4"/>
    </row>
    <row r="45" spans="1:19" x14ac:dyDescent="0.25">
      <c r="A45" s="4"/>
      <c r="B45" s="717" t="s">
        <v>1560</v>
      </c>
      <c r="C45" s="4"/>
      <c r="D45" s="4"/>
      <c r="E45" s="4"/>
      <c r="F45" s="4"/>
      <c r="G45" s="4"/>
      <c r="H45" s="4"/>
      <c r="I45" s="4"/>
      <c r="J45" s="4"/>
      <c r="K45" s="4"/>
    </row>
    <row r="46" spans="1:19" ht="10.5" customHeight="1" x14ac:dyDescent="0.25">
      <c r="A46" s="4"/>
      <c r="B46" s="4"/>
      <c r="C46" s="4"/>
      <c r="D46" s="4"/>
      <c r="E46" s="4"/>
      <c r="F46" s="4"/>
      <c r="G46" s="4"/>
      <c r="H46" s="4"/>
      <c r="I46" s="4"/>
      <c r="J46" s="4"/>
      <c r="K46" s="4"/>
    </row>
    <row r="47" spans="1:19" ht="19.5" customHeight="1" x14ac:dyDescent="0.25">
      <c r="A47" s="4"/>
      <c r="B47" s="474" t="s">
        <v>1120</v>
      </c>
      <c r="C47" s="475" t="s">
        <v>43</v>
      </c>
      <c r="D47" s="1804" t="s">
        <v>722</v>
      </c>
      <c r="E47" s="1804"/>
      <c r="F47" s="1804" t="s">
        <v>33</v>
      </c>
      <c r="G47" s="1805"/>
      <c r="H47" s="4"/>
      <c r="I47" s="4"/>
      <c r="J47" s="4"/>
      <c r="K47" s="4"/>
    </row>
    <row r="48" spans="1:19" ht="16.5" customHeight="1" x14ac:dyDescent="0.25">
      <c r="A48" s="4"/>
      <c r="B48" s="578"/>
      <c r="C48" s="571"/>
      <c r="D48" s="1796" t="s">
        <v>129</v>
      </c>
      <c r="E48" s="1797"/>
      <c r="F48" s="1798"/>
      <c r="G48" s="1798"/>
      <c r="H48" s="4"/>
      <c r="I48" s="4"/>
      <c r="J48" s="4"/>
      <c r="K48" s="4"/>
      <c r="L48" t="s">
        <v>129</v>
      </c>
      <c r="M48" t="s">
        <v>1565</v>
      </c>
      <c r="N48" t="s">
        <v>1564</v>
      </c>
      <c r="O48" t="s">
        <v>1566</v>
      </c>
      <c r="P48" t="s">
        <v>1567</v>
      </c>
      <c r="Q48" t="s">
        <v>1562</v>
      </c>
      <c r="R48" t="s">
        <v>2119</v>
      </c>
      <c r="S48" t="s">
        <v>9</v>
      </c>
    </row>
    <row r="49" spans="1:11" ht="16.5" customHeight="1" x14ac:dyDescent="0.25">
      <c r="A49" s="4"/>
      <c r="B49" s="578"/>
      <c r="C49" s="570"/>
      <c r="D49" s="1796" t="s">
        <v>129</v>
      </c>
      <c r="E49" s="1797"/>
      <c r="F49" s="1798"/>
      <c r="G49" s="1798"/>
      <c r="H49" s="4"/>
      <c r="I49" s="4"/>
      <c r="J49" s="4"/>
      <c r="K49" s="4"/>
    </row>
    <row r="50" spans="1:11" ht="16.5" customHeight="1" x14ac:dyDescent="0.25">
      <c r="A50" s="4"/>
      <c r="B50" s="857"/>
      <c r="C50" s="858"/>
      <c r="D50" s="1796" t="s">
        <v>129</v>
      </c>
      <c r="E50" s="1797"/>
      <c r="F50" s="1798"/>
      <c r="G50" s="1798"/>
      <c r="H50" s="4"/>
      <c r="I50" s="4"/>
      <c r="J50" s="4"/>
      <c r="K50" s="4"/>
    </row>
    <row r="51" spans="1:11" ht="16.5" customHeight="1" x14ac:dyDescent="0.25">
      <c r="A51" s="4"/>
      <c r="B51" s="857"/>
      <c r="C51" s="858"/>
      <c r="D51" s="1796" t="s">
        <v>129</v>
      </c>
      <c r="E51" s="1797"/>
      <c r="F51" s="1798"/>
      <c r="G51" s="1798"/>
      <c r="H51" s="4"/>
      <c r="I51" s="4"/>
      <c r="J51" s="4"/>
      <c r="K51" s="4"/>
    </row>
    <row r="52" spans="1:11" ht="16.5" customHeight="1" x14ac:dyDescent="0.25">
      <c r="A52" s="4"/>
      <c r="B52" s="857"/>
      <c r="C52" s="858"/>
      <c r="D52" s="1796" t="s">
        <v>129</v>
      </c>
      <c r="E52" s="1797"/>
      <c r="F52" s="1798"/>
      <c r="G52" s="1798"/>
      <c r="H52" s="4"/>
      <c r="I52" s="4"/>
      <c r="J52" s="4"/>
      <c r="K52" s="4"/>
    </row>
    <row r="53" spans="1:11" ht="16.5" customHeight="1" x14ac:dyDescent="0.25">
      <c r="A53" s="4"/>
      <c r="B53" s="857"/>
      <c r="C53" s="858"/>
      <c r="D53" s="1796" t="s">
        <v>129</v>
      </c>
      <c r="E53" s="1797"/>
      <c r="F53" s="1798"/>
      <c r="G53" s="1798"/>
      <c r="H53" s="4"/>
      <c r="I53" s="4"/>
      <c r="J53" s="4"/>
      <c r="K53" s="4"/>
    </row>
    <row r="54" spans="1:11" ht="16.5" customHeight="1" x14ac:dyDescent="0.25">
      <c r="A54" s="4"/>
      <c r="B54" s="857"/>
      <c r="C54" s="858"/>
      <c r="D54" s="1796" t="s">
        <v>129</v>
      </c>
      <c r="E54" s="1797"/>
      <c r="F54" s="1798"/>
      <c r="G54" s="1798"/>
      <c r="H54" s="4"/>
      <c r="I54" s="4"/>
      <c r="J54" s="4"/>
      <c r="K54" s="4"/>
    </row>
    <row r="55" spans="1:11" ht="16.5" customHeight="1" x14ac:dyDescent="0.25">
      <c r="A55" s="4"/>
      <c r="B55" s="578"/>
      <c r="C55" s="570"/>
      <c r="D55" s="1796" t="s">
        <v>129</v>
      </c>
      <c r="E55" s="1797"/>
      <c r="F55" s="1798"/>
      <c r="G55" s="1798"/>
      <c r="H55" s="4"/>
      <c r="I55" s="4"/>
      <c r="J55" s="4"/>
      <c r="K55" s="4"/>
    </row>
    <row r="56" spans="1:11" ht="16.5" customHeight="1" x14ac:dyDescent="0.25">
      <c r="A56" s="4"/>
      <c r="B56" s="578"/>
      <c r="C56" s="570"/>
      <c r="D56" s="1796" t="s">
        <v>129</v>
      </c>
      <c r="E56" s="1797"/>
      <c r="F56" s="1798"/>
      <c r="G56" s="1798"/>
      <c r="H56" s="4"/>
      <c r="I56" s="4"/>
      <c r="J56" s="4"/>
      <c r="K56" s="4"/>
    </row>
    <row r="57" spans="1:11" ht="16.5" customHeight="1" x14ac:dyDescent="0.25">
      <c r="A57" s="4"/>
      <c r="B57" s="578"/>
      <c r="C57" s="570"/>
      <c r="D57" s="1796" t="s">
        <v>129</v>
      </c>
      <c r="E57" s="1797"/>
      <c r="F57" s="1798"/>
      <c r="G57" s="1798"/>
      <c r="H57" s="4"/>
      <c r="I57" s="4"/>
      <c r="J57" s="4"/>
      <c r="K57" s="4"/>
    </row>
    <row r="58" spans="1:11" ht="16.5" customHeight="1" x14ac:dyDescent="0.25">
      <c r="A58" s="4"/>
      <c r="B58" s="578"/>
      <c r="C58" s="570"/>
      <c r="D58" s="1796" t="s">
        <v>129</v>
      </c>
      <c r="E58" s="1797"/>
      <c r="F58" s="1798"/>
      <c r="G58" s="1798"/>
      <c r="H58" s="4"/>
      <c r="I58" s="4"/>
      <c r="J58" s="4"/>
      <c r="K58" s="4"/>
    </row>
    <row r="59" spans="1:11" ht="16.5" customHeight="1" x14ac:dyDescent="0.25">
      <c r="A59" s="4"/>
      <c r="B59" s="578"/>
      <c r="C59" s="570"/>
      <c r="D59" s="1796" t="s">
        <v>129</v>
      </c>
      <c r="E59" s="1797"/>
      <c r="F59" s="1798"/>
      <c r="G59" s="1798"/>
      <c r="H59" s="4"/>
      <c r="I59" s="4"/>
      <c r="J59" s="4"/>
      <c r="K59" s="4"/>
    </row>
    <row r="60" spans="1:11" ht="16.5" customHeight="1" x14ac:dyDescent="0.25">
      <c r="A60" s="4"/>
      <c r="B60" s="578"/>
      <c r="C60" s="570"/>
      <c r="D60" s="1796" t="s">
        <v>129</v>
      </c>
      <c r="E60" s="1797"/>
      <c r="F60" s="1798"/>
      <c r="G60" s="1798"/>
      <c r="H60" s="4"/>
      <c r="I60" s="4"/>
      <c r="J60" s="4"/>
      <c r="K60" s="4"/>
    </row>
    <row r="61" spans="1:11" ht="16.5" customHeight="1" x14ac:dyDescent="0.25">
      <c r="A61" s="4"/>
      <c r="B61" s="578"/>
      <c r="C61" s="570"/>
      <c r="D61" s="1796" t="s">
        <v>129</v>
      </c>
      <c r="E61" s="1797"/>
      <c r="F61" s="1798"/>
      <c r="G61" s="1798"/>
      <c r="H61" s="4"/>
      <c r="I61" s="4"/>
      <c r="J61" s="4"/>
      <c r="K61" s="4"/>
    </row>
    <row r="62" spans="1:11" ht="16.5" customHeight="1" x14ac:dyDescent="0.25">
      <c r="A62" s="4"/>
      <c r="B62" s="578"/>
      <c r="C62" s="570"/>
      <c r="D62" s="1796" t="s">
        <v>129</v>
      </c>
      <c r="E62" s="1797"/>
      <c r="F62" s="1798"/>
      <c r="G62" s="1798"/>
      <c r="H62" s="4"/>
      <c r="I62" s="4"/>
      <c r="J62" s="4"/>
      <c r="K62" s="4"/>
    </row>
    <row r="63" spans="1:11" ht="16.5" customHeight="1" x14ac:dyDescent="0.25">
      <c r="A63" s="4"/>
      <c r="B63" s="4"/>
      <c r="C63" s="4"/>
      <c r="D63" s="4"/>
      <c r="E63" s="4"/>
      <c r="F63" s="4"/>
      <c r="G63" s="4"/>
      <c r="H63" s="4"/>
      <c r="I63" s="4"/>
      <c r="J63" s="4"/>
      <c r="K63" s="4"/>
    </row>
    <row r="64" spans="1:11" ht="18" customHeight="1" x14ac:dyDescent="0.25">
      <c r="A64" s="4"/>
      <c r="B64" s="1813" t="s">
        <v>1660</v>
      </c>
      <c r="C64" s="1813"/>
      <c r="D64" s="1813"/>
      <c r="E64" s="1197">
        <f ca="1">E65-SUMIF(D48:E62,"Select",C48:C62)-SUMIF(D48:E62,"No",C48:C62)</f>
        <v>0</v>
      </c>
      <c r="F64" s="4"/>
      <c r="G64" s="4"/>
      <c r="H64" s="4"/>
      <c r="I64" s="4"/>
      <c r="J64" s="4"/>
      <c r="K64" s="4"/>
    </row>
    <row r="65" spans="1:11" ht="18" customHeight="1" x14ac:dyDescent="0.25">
      <c r="A65" s="4"/>
      <c r="B65" s="1813" t="s">
        <v>1661</v>
      </c>
      <c r="C65" s="1813"/>
      <c r="D65" s="1813"/>
      <c r="E65" s="1197">
        <f>SUM(C48:C62)</f>
        <v>0</v>
      </c>
      <c r="F65" s="4"/>
      <c r="G65" s="4"/>
      <c r="H65" s="4"/>
      <c r="I65" s="4"/>
      <c r="J65" s="4"/>
      <c r="K65" s="4"/>
    </row>
    <row r="66" spans="1:11" ht="18" customHeight="1" x14ac:dyDescent="0.25">
      <c r="A66" s="4"/>
      <c r="B66" s="1813" t="s">
        <v>1956</v>
      </c>
      <c r="C66" s="1813"/>
      <c r="D66" s="1813"/>
      <c r="E66" s="1198">
        <f ca="1">IFERROR((E64/E65),0)</f>
        <v>0</v>
      </c>
      <c r="F66" s="4"/>
      <c r="G66" s="4"/>
      <c r="H66" s="4"/>
      <c r="I66" s="4"/>
      <c r="J66" s="4"/>
      <c r="K66" s="4"/>
    </row>
    <row r="67" spans="1:11" ht="20.25" customHeight="1" x14ac:dyDescent="0.25">
      <c r="A67" s="4"/>
      <c r="B67" s="4"/>
      <c r="C67" s="4"/>
      <c r="D67" s="4"/>
      <c r="E67" s="54"/>
      <c r="F67" s="4"/>
      <c r="G67" s="4"/>
      <c r="H67" s="4"/>
      <c r="I67" s="4"/>
      <c r="J67" s="4"/>
      <c r="K67" s="4"/>
    </row>
    <row r="68" spans="1:11" ht="18" customHeight="1" x14ac:dyDescent="0.25">
      <c r="A68" s="1799" t="s">
        <v>200</v>
      </c>
      <c r="B68" s="1799"/>
      <c r="C68" s="1799"/>
      <c r="D68" s="1799"/>
      <c r="E68" s="1799"/>
      <c r="F68" s="1799"/>
      <c r="G68" s="1799"/>
      <c r="H68" s="1799"/>
      <c r="I68" s="1799"/>
      <c r="J68" s="1799"/>
      <c r="K68" s="1799"/>
    </row>
    <row r="69" spans="1:11" x14ac:dyDescent="0.25">
      <c r="A69" s="4"/>
      <c r="B69" s="4"/>
      <c r="C69" s="4"/>
      <c r="D69" s="4"/>
      <c r="E69" s="4"/>
      <c r="F69" s="4"/>
      <c r="G69" s="4"/>
      <c r="H69" s="4"/>
      <c r="I69" s="4"/>
      <c r="J69" s="4"/>
      <c r="K69" s="4"/>
    </row>
    <row r="70" spans="1:11" ht="18" customHeight="1" x14ac:dyDescent="0.25">
      <c r="A70" s="4"/>
      <c r="B70" s="1811" t="s">
        <v>2103</v>
      </c>
      <c r="C70" s="1812"/>
      <c r="D70" s="1812"/>
      <c r="E70" s="1812"/>
      <c r="F70" s="1812"/>
      <c r="G70" s="1079" t="s">
        <v>2101</v>
      </c>
      <c r="H70" s="1804" t="s">
        <v>2102</v>
      </c>
      <c r="I70" s="1805"/>
      <c r="J70" s="4"/>
      <c r="K70" s="4"/>
    </row>
    <row r="71" spans="1:11" ht="24" customHeight="1" x14ac:dyDescent="0.25">
      <c r="A71" s="4"/>
      <c r="B71" s="1436" t="s">
        <v>1860</v>
      </c>
      <c r="C71" s="1437"/>
      <c r="D71" s="1437"/>
      <c r="E71" s="1437"/>
      <c r="F71" s="1438"/>
      <c r="G71" s="518" t="s">
        <v>129</v>
      </c>
      <c r="H71" s="1441"/>
      <c r="I71" s="1442"/>
      <c r="J71" s="4"/>
      <c r="K71" s="4"/>
    </row>
    <row r="72" spans="1:11" ht="24" customHeight="1" x14ac:dyDescent="0.25">
      <c r="A72" s="4"/>
      <c r="B72" s="1436" t="s">
        <v>1861</v>
      </c>
      <c r="C72" s="1437"/>
      <c r="D72" s="1437"/>
      <c r="E72" s="1437"/>
      <c r="F72" s="1438"/>
      <c r="G72" s="565" t="s">
        <v>129</v>
      </c>
      <c r="H72" s="1441"/>
      <c r="I72" s="1442"/>
      <c r="J72" s="4"/>
      <c r="K72" s="4"/>
    </row>
    <row r="73" spans="1:11" ht="19.5" customHeight="1" x14ac:dyDescent="0.25">
      <c r="A73" s="4"/>
      <c r="B73" s="4"/>
      <c r="C73" s="4"/>
      <c r="D73" s="4"/>
      <c r="E73" s="4"/>
      <c r="F73" s="4"/>
      <c r="G73" s="4"/>
      <c r="H73" s="4"/>
      <c r="I73" s="4"/>
      <c r="J73" s="4"/>
      <c r="K73" s="4"/>
    </row>
    <row r="74" spans="1:11" ht="18" customHeight="1" x14ac:dyDescent="0.25">
      <c r="A74" s="1799" t="s">
        <v>25</v>
      </c>
      <c r="B74" s="1799"/>
      <c r="C74" s="1799"/>
      <c r="D74" s="1799"/>
      <c r="E74" s="1799"/>
      <c r="F74" s="1799"/>
      <c r="G74" s="1799"/>
      <c r="H74" s="1799"/>
      <c r="I74" s="1799"/>
      <c r="J74" s="1799"/>
      <c r="K74" s="1799"/>
    </row>
    <row r="75" spans="1:11" x14ac:dyDescent="0.25">
      <c r="A75" s="4"/>
      <c r="B75" s="4"/>
      <c r="C75" s="4"/>
      <c r="D75" s="4"/>
      <c r="E75" s="4"/>
      <c r="F75" s="4"/>
      <c r="G75" s="4"/>
      <c r="H75" s="4"/>
      <c r="I75" s="4"/>
      <c r="J75" s="4"/>
      <c r="K75" s="4"/>
    </row>
    <row r="76" spans="1:11" ht="18" customHeight="1" x14ac:dyDescent="0.25">
      <c r="A76" s="4"/>
      <c r="B76" s="319" t="s">
        <v>56</v>
      </c>
      <c r="C76" s="1193">
        <f ca="1">IF(E66&gt;=0.8,3,IF(E66&gt;=0.6,2,IF(E66&gt;=0.4,1,0)))</f>
        <v>0</v>
      </c>
      <c r="D76" s="4"/>
      <c r="E76" s="4"/>
      <c r="F76" s="4"/>
      <c r="G76" s="4"/>
      <c r="H76" s="4"/>
      <c r="I76" s="4"/>
      <c r="J76" s="4"/>
      <c r="K76" s="4"/>
    </row>
    <row r="77" spans="1:11" ht="18" customHeight="1" x14ac:dyDescent="0.25">
      <c r="A77" s="4"/>
      <c r="B77" s="320" t="s">
        <v>521</v>
      </c>
      <c r="C77" s="1193" t="str">
        <f ca="1">IF(AND(COUNTIF(G71:G72,"Submitted")=2,C76&gt;0),"Yes","No")</f>
        <v>No</v>
      </c>
      <c r="D77" s="4"/>
      <c r="E77" s="4"/>
      <c r="F77" s="4"/>
      <c r="G77" s="4"/>
      <c r="H77" s="4"/>
      <c r="I77" s="4"/>
      <c r="J77" s="4"/>
      <c r="K77" s="4"/>
    </row>
    <row r="78" spans="1:11" ht="18" customHeight="1" x14ac:dyDescent="0.25">
      <c r="A78" s="4"/>
      <c r="B78" s="4"/>
      <c r="C78" s="4"/>
      <c r="D78" s="4"/>
      <c r="E78" s="4"/>
      <c r="F78" s="4"/>
      <c r="G78" s="4"/>
      <c r="H78" s="4"/>
      <c r="I78" s="4"/>
      <c r="J78" s="4"/>
      <c r="K78" s="4"/>
    </row>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sheetData>
  <sheetProtection algorithmName="SHA-512" hashValue="0GAsCCX09AgY3rqmFqJ6Zen2Vx4OF6pZxjh2GKLSvkx+Tg7QvPLdbwU/NXRPba7ogOz5xQ67i8JTThI7KGkc/Q==" saltValue="hyaR0Aa3rOd5hM6UwOZyNA==" spinCount="100000" sheet="1" objects="1" scenarios="1"/>
  <mergeCells count="58">
    <mergeCell ref="D57:E57"/>
    <mergeCell ref="D61:E61"/>
    <mergeCell ref="F61:G61"/>
    <mergeCell ref="D54:E54"/>
    <mergeCell ref="F54:G54"/>
    <mergeCell ref="A74:K74"/>
    <mergeCell ref="B71:F71"/>
    <mergeCell ref="B72:F72"/>
    <mergeCell ref="F57:G57"/>
    <mergeCell ref="D58:E58"/>
    <mergeCell ref="F58:G58"/>
    <mergeCell ref="D59:E59"/>
    <mergeCell ref="F59:G59"/>
    <mergeCell ref="D60:E60"/>
    <mergeCell ref="F60:G60"/>
    <mergeCell ref="B65:D65"/>
    <mergeCell ref="B66:D66"/>
    <mergeCell ref="D62:E62"/>
    <mergeCell ref="F62:G62"/>
    <mergeCell ref="B64:D64"/>
    <mergeCell ref="A68:K68"/>
    <mergeCell ref="A1:K1"/>
    <mergeCell ref="B35:H35"/>
    <mergeCell ref="B29:H29"/>
    <mergeCell ref="B30:H30"/>
    <mergeCell ref="B31:H31"/>
    <mergeCell ref="B32:H32"/>
    <mergeCell ref="B33:H33"/>
    <mergeCell ref="H2:I4"/>
    <mergeCell ref="A5:K7"/>
    <mergeCell ref="A9:K9"/>
    <mergeCell ref="B11:E11"/>
    <mergeCell ref="A14:K14"/>
    <mergeCell ref="B12:E12"/>
    <mergeCell ref="B34:H34"/>
    <mergeCell ref="B70:F70"/>
    <mergeCell ref="H70:I70"/>
    <mergeCell ref="H71:I71"/>
    <mergeCell ref="H72:I72"/>
    <mergeCell ref="D47:E47"/>
    <mergeCell ref="F47:G47"/>
    <mergeCell ref="D48:E48"/>
    <mergeCell ref="F48:G48"/>
    <mergeCell ref="D56:E56"/>
    <mergeCell ref="F56:G56"/>
    <mergeCell ref="D53:E53"/>
    <mergeCell ref="F53:G53"/>
    <mergeCell ref="D50:E50"/>
    <mergeCell ref="F50:G50"/>
    <mergeCell ref="D51:E51"/>
    <mergeCell ref="F51:G51"/>
    <mergeCell ref="A37:K37"/>
    <mergeCell ref="D49:E49"/>
    <mergeCell ref="F49:G49"/>
    <mergeCell ref="D55:E55"/>
    <mergeCell ref="F55:G55"/>
    <mergeCell ref="D52:E52"/>
    <mergeCell ref="F52:G52"/>
  </mergeCells>
  <conditionalFormatting sqref="F12 B12">
    <cfRule type="expression" dxfId="172" priority="502">
      <formula>OR(#REF!="No",#REF!="Không")</formula>
    </cfRule>
  </conditionalFormatting>
  <conditionalFormatting sqref="F12 B12">
    <cfRule type="expression" dxfId="171" priority="504">
      <formula>OR($D12="No",$D12="Không")</formula>
    </cfRule>
    <cfRule type="expression" dxfId="170" priority="505">
      <formula>OR(#REF!="No",#REF!="Không")</formula>
    </cfRule>
  </conditionalFormatting>
  <conditionalFormatting sqref="G71:G72">
    <cfRule type="expression" dxfId="169" priority="4">
      <formula>#REF!&lt;&gt;"Prescriptive Path"</formula>
    </cfRule>
  </conditionalFormatting>
  <conditionalFormatting sqref="H70:I70">
    <cfRule type="expression" dxfId="168" priority="3">
      <formula>#REF!&lt;&gt;"Prescriptive Path"</formula>
    </cfRule>
  </conditionalFormatting>
  <conditionalFormatting sqref="I71">
    <cfRule type="expression" dxfId="167" priority="2">
      <formula>#REF!&lt;&gt;"Prescriptive Path"</formula>
    </cfRule>
  </conditionalFormatting>
  <conditionalFormatting sqref="I72">
    <cfRule type="expression" dxfId="166" priority="1">
      <formula>#REF!&lt;&gt;"Prescriptive Path"</formula>
    </cfRule>
  </conditionalFormatting>
  <dataValidations count="5">
    <dataValidation allowBlank="1" showInputMessage="1" showErrorMessage="1" prompt="Provide more details on the flooring material used" sqref="F47:G47"/>
    <dataValidation type="list" allowBlank="1" showInputMessage="1" showErrorMessage="1" sqref="G71:G72">
      <formula1>"Select,Submitted,Not submitted"</formula1>
    </dataValidation>
    <dataValidation allowBlank="1" showInputMessage="1" showErrorMessage="1" prompt="Provide more details on the sustainable feature of the non-structural wall item" sqref="F48:G62"/>
    <dataValidation allowBlank="1" showInputMessage="1" showErrorMessage="1" prompt="Enter the name of the non-structural wall item" sqref="B48:B62"/>
    <dataValidation type="list" allowBlank="1" showInputMessage="1" showErrorMessage="1" sqref="D48:E62">
      <formula1>$L$48:$S$48</formula1>
    </dataValidation>
  </dataValidations>
  <hyperlinks>
    <hyperlink ref="K2" location="'M-5 Roofing materials'!D3" tooltip="M-5" display="M-5"/>
    <hyperlink ref="K3" location="'M-6 Furniture'!D3" tooltip="M-6" display="M-6"/>
    <hyperlink ref="J3" location="'M-3 Windows and doors'!D3" tooltip="M-3" display="M-3"/>
    <hyperlink ref="J4" location="'M-4 Flooring materials'!D3" tooltip="M-4" display="M-4"/>
    <hyperlink ref="J2" location="'M-1 Structure Materials'!D3" tooltip="M-1" display="M-1"/>
  </hyperlinks>
  <pageMargins left="0.7" right="0.7" top="0.75" bottom="0.75" header="0.3" footer="0.3"/>
  <pageSetup orientation="portrait"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5F4970"/>
  </sheetPr>
  <dimension ref="A1:M132"/>
  <sheetViews>
    <sheetView showRowColHeaders="0" workbookViewId="0">
      <pane ySplit="8" topLeftCell="A48" activePane="bottomLeft" state="frozen"/>
      <selection pane="bottomLeft" activeCell="C63" sqref="C63"/>
    </sheetView>
  </sheetViews>
  <sheetFormatPr defaultColWidth="0" defaultRowHeight="15" customHeight="1" zeroHeight="1" x14ac:dyDescent="0.25"/>
  <cols>
    <col min="1" max="1" width="3.7109375" customWidth="1"/>
    <col min="2" max="2" width="23.140625" customWidth="1"/>
    <col min="3" max="3" width="21.5703125" customWidth="1"/>
    <col min="4" max="4" width="20.28515625" customWidth="1"/>
    <col min="5" max="5" width="24.28515625" customWidth="1"/>
    <col min="6" max="8" width="17.7109375" customWidth="1"/>
    <col min="9" max="9" width="10.85546875" customWidth="1"/>
    <col min="10" max="11" width="8.7109375" customWidth="1"/>
    <col min="12" max="12" width="9.140625" hidden="1" customWidth="1"/>
    <col min="13" max="13" width="12.28515625" hidden="1" customWidth="1"/>
    <col min="14" max="16384" width="9.140625" hidden="1"/>
  </cols>
  <sheetData>
    <row r="1" spans="1:13" ht="24" customHeight="1" x14ac:dyDescent="0.25">
      <c r="A1" s="1795" t="s">
        <v>1953</v>
      </c>
      <c r="B1" s="1795"/>
      <c r="C1" s="1795"/>
      <c r="D1" s="1795"/>
      <c r="E1" s="1795"/>
      <c r="F1" s="1795"/>
      <c r="G1" s="1795"/>
      <c r="H1" s="1795"/>
      <c r="I1" s="1795"/>
      <c r="J1" s="1795"/>
      <c r="K1" s="1795"/>
    </row>
    <row r="2" spans="1:13" ht="15" customHeight="1" x14ac:dyDescent="0.25">
      <c r="A2" s="4"/>
      <c r="B2" s="4"/>
      <c r="C2" s="4"/>
      <c r="D2" s="4"/>
      <c r="E2" s="4"/>
      <c r="F2" s="4"/>
      <c r="G2" s="5"/>
      <c r="H2" s="1426" t="s">
        <v>2107</v>
      </c>
      <c r="I2" s="1426"/>
      <c r="J2" s="833" t="s">
        <v>59</v>
      </c>
      <c r="K2" s="833" t="s">
        <v>75</v>
      </c>
    </row>
    <row r="3" spans="1:13" ht="15" customHeight="1" x14ac:dyDescent="0.25">
      <c r="A3" s="4"/>
      <c r="B3" s="4"/>
      <c r="C3" s="4"/>
      <c r="D3" s="4"/>
      <c r="E3" s="4"/>
      <c r="F3" s="4"/>
      <c r="G3" s="5"/>
      <c r="H3" s="1426"/>
      <c r="I3" s="1426"/>
      <c r="J3" s="833" t="s">
        <v>63</v>
      </c>
      <c r="K3" s="833" t="s">
        <v>641</v>
      </c>
    </row>
    <row r="4" spans="1:13" ht="15" customHeight="1" x14ac:dyDescent="0.25">
      <c r="A4" s="4"/>
      <c r="B4" s="4"/>
      <c r="C4" s="4"/>
      <c r="D4" s="4"/>
      <c r="E4" s="4"/>
      <c r="F4" s="4"/>
      <c r="G4" s="5"/>
      <c r="H4" s="1427"/>
      <c r="I4" s="1427"/>
      <c r="J4" s="833" t="s">
        <v>71</v>
      </c>
      <c r="K4" s="833"/>
    </row>
    <row r="5" spans="1:13" s="42" customFormat="1" ht="18" customHeight="1" x14ac:dyDescent="0.25">
      <c r="A5" s="1417" t="s">
        <v>2413</v>
      </c>
      <c r="B5" s="1418"/>
      <c r="C5" s="1418"/>
      <c r="D5" s="1418"/>
      <c r="E5" s="1418"/>
      <c r="F5" s="1418"/>
      <c r="G5" s="1418"/>
      <c r="H5" s="1418"/>
      <c r="I5" s="1418"/>
      <c r="J5" s="1418"/>
      <c r="K5" s="1418"/>
      <c r="L5"/>
      <c r="M5"/>
    </row>
    <row r="6" spans="1:13" s="42" customFormat="1" ht="18" customHeight="1" x14ac:dyDescent="0.25">
      <c r="A6" s="1420"/>
      <c r="B6" s="1421"/>
      <c r="C6" s="1421"/>
      <c r="D6" s="1421"/>
      <c r="E6" s="1421"/>
      <c r="F6" s="1421"/>
      <c r="G6" s="1421"/>
      <c r="H6" s="1421"/>
      <c r="I6" s="1421"/>
      <c r="J6" s="1421"/>
      <c r="K6" s="1421"/>
      <c r="L6"/>
      <c r="M6"/>
    </row>
    <row r="7" spans="1:13" s="42" customFormat="1" ht="18" customHeight="1" x14ac:dyDescent="0.25">
      <c r="A7" s="1423"/>
      <c r="B7" s="1424"/>
      <c r="C7" s="1424"/>
      <c r="D7" s="1424"/>
      <c r="E7" s="1424"/>
      <c r="F7" s="1424"/>
      <c r="G7" s="1424"/>
      <c r="H7" s="1424"/>
      <c r="I7" s="1424"/>
      <c r="J7" s="1424"/>
      <c r="K7" s="1424"/>
      <c r="L7"/>
      <c r="M7"/>
    </row>
    <row r="8" spans="1:13" s="42" customFormat="1" ht="10.5" customHeight="1" x14ac:dyDescent="0.25">
      <c r="A8" s="53"/>
      <c r="B8" s="54"/>
      <c r="C8" s="54"/>
      <c r="D8" s="54"/>
      <c r="E8" s="54"/>
      <c r="F8" s="53"/>
      <c r="G8" s="53"/>
      <c r="H8" s="53"/>
      <c r="I8" s="53"/>
      <c r="J8" s="53"/>
      <c r="K8" s="53"/>
      <c r="L8"/>
      <c r="M8"/>
    </row>
    <row r="9" spans="1:13" ht="18" customHeight="1" x14ac:dyDescent="0.25">
      <c r="A9" s="1799" t="s">
        <v>191</v>
      </c>
      <c r="B9" s="1799"/>
      <c r="C9" s="1799"/>
      <c r="D9" s="1799"/>
      <c r="E9" s="1799"/>
      <c r="F9" s="1799"/>
      <c r="G9" s="1799"/>
      <c r="H9" s="1799"/>
      <c r="I9" s="1799"/>
      <c r="J9" s="1799"/>
      <c r="K9" s="1799"/>
    </row>
    <row r="10" spans="1:13" ht="16.5" customHeight="1" x14ac:dyDescent="0.25">
      <c r="A10" s="5"/>
      <c r="B10" s="4"/>
      <c r="C10" s="4"/>
      <c r="D10" s="4"/>
      <c r="E10" s="4"/>
      <c r="F10" s="5"/>
      <c r="G10" s="5"/>
      <c r="H10" s="5"/>
      <c r="I10" s="5"/>
      <c r="J10" s="5"/>
      <c r="K10" s="5"/>
    </row>
    <row r="11" spans="1:13" ht="19.5" customHeight="1" x14ac:dyDescent="0.25">
      <c r="A11" s="5"/>
      <c r="B11" s="1802" t="s">
        <v>192</v>
      </c>
      <c r="C11" s="1803"/>
      <c r="D11" s="1803"/>
      <c r="E11" s="1803"/>
      <c r="F11" s="480" t="s">
        <v>157</v>
      </c>
      <c r="G11" s="480" t="s">
        <v>56</v>
      </c>
      <c r="H11" s="317" t="s">
        <v>521</v>
      </c>
      <c r="I11" s="5"/>
      <c r="J11" s="5"/>
      <c r="K11" s="5"/>
    </row>
    <row r="12" spans="1:13" ht="32.25" customHeight="1" x14ac:dyDescent="0.25">
      <c r="A12" s="5"/>
      <c r="B12" s="1474" t="s">
        <v>1127</v>
      </c>
      <c r="C12" s="1475"/>
      <c r="D12" s="1475"/>
      <c r="E12" s="1476"/>
      <c r="F12" s="40">
        <v>2</v>
      </c>
      <c r="G12" s="324">
        <f>C62</f>
        <v>0</v>
      </c>
      <c r="H12" s="324" t="str">
        <f>C63</f>
        <v>No</v>
      </c>
      <c r="I12" s="5"/>
      <c r="J12" s="5"/>
      <c r="K12" s="5"/>
    </row>
    <row r="13" spans="1:13" ht="16.5" customHeight="1" x14ac:dyDescent="0.25">
      <c r="A13" s="5"/>
      <c r="B13" s="4"/>
      <c r="C13" s="4"/>
      <c r="D13" s="4"/>
      <c r="E13" s="4"/>
      <c r="F13" s="5"/>
      <c r="G13" s="5"/>
      <c r="H13" s="5"/>
      <c r="I13" s="5"/>
      <c r="J13" s="5"/>
      <c r="K13" s="5"/>
    </row>
    <row r="14" spans="1:13" ht="18" customHeight="1" x14ac:dyDescent="0.25">
      <c r="A14" s="1799" t="s">
        <v>265</v>
      </c>
      <c r="B14" s="1799"/>
      <c r="C14" s="1799"/>
      <c r="D14" s="1799"/>
      <c r="E14" s="1799"/>
      <c r="F14" s="1799"/>
      <c r="G14" s="1799"/>
      <c r="H14" s="1799"/>
      <c r="I14" s="1799"/>
      <c r="J14" s="1799"/>
      <c r="K14" s="1799"/>
    </row>
    <row r="15" spans="1:13" x14ac:dyDescent="0.25">
      <c r="A15" s="4"/>
      <c r="B15" s="4"/>
      <c r="C15" s="4"/>
      <c r="D15" s="4"/>
      <c r="E15" s="4"/>
      <c r="F15" s="4"/>
      <c r="G15" s="4"/>
      <c r="H15" s="4"/>
      <c r="I15" s="4"/>
      <c r="J15" s="4"/>
      <c r="K15" s="4"/>
    </row>
    <row r="16" spans="1:13" x14ac:dyDescent="0.25">
      <c r="A16" s="4"/>
      <c r="B16" s="661" t="s">
        <v>1274</v>
      </c>
      <c r="C16" s="4"/>
      <c r="D16" s="4"/>
      <c r="E16" s="4"/>
      <c r="F16" s="4"/>
      <c r="G16" s="4"/>
      <c r="H16" s="4"/>
      <c r="I16" s="4"/>
      <c r="J16" s="4"/>
      <c r="K16" s="4"/>
    </row>
    <row r="17" spans="1:11" ht="12" customHeight="1" x14ac:dyDescent="0.25">
      <c r="A17" s="4"/>
      <c r="B17" s="4"/>
      <c r="C17" s="4"/>
      <c r="D17" s="4"/>
      <c r="E17" s="4"/>
      <c r="F17" s="4"/>
      <c r="G17" s="4"/>
      <c r="H17" s="4"/>
      <c r="I17" s="4"/>
      <c r="J17" s="4"/>
      <c r="K17" s="4"/>
    </row>
    <row r="18" spans="1:11" ht="13.5" customHeight="1" x14ac:dyDescent="0.25">
      <c r="A18" s="4"/>
      <c r="B18" s="4"/>
      <c r="C18" s="4"/>
      <c r="D18" s="4"/>
      <c r="E18" s="4"/>
      <c r="F18" s="4"/>
      <c r="G18" s="4"/>
      <c r="H18" s="4"/>
      <c r="I18" s="4"/>
      <c r="J18" s="4"/>
      <c r="K18" s="4"/>
    </row>
    <row r="19" spans="1:11" x14ac:dyDescent="0.25">
      <c r="A19" s="4"/>
      <c r="B19" s="660" t="s">
        <v>1275</v>
      </c>
      <c r="C19" s="4"/>
      <c r="D19" s="4"/>
      <c r="E19" s="4"/>
      <c r="F19" s="4"/>
      <c r="G19" s="4"/>
      <c r="H19" s="4"/>
      <c r="I19" s="4"/>
      <c r="J19" s="4"/>
      <c r="K19" s="4"/>
    </row>
    <row r="20" spans="1:11" ht="11.25" customHeight="1" x14ac:dyDescent="0.25">
      <c r="A20" s="4"/>
      <c r="B20" s="4"/>
      <c r="C20" s="4"/>
      <c r="D20" s="4"/>
      <c r="E20" s="4"/>
      <c r="F20" s="4"/>
      <c r="G20" s="4"/>
      <c r="H20" s="4"/>
      <c r="I20" s="4"/>
      <c r="J20" s="4"/>
      <c r="K20" s="4"/>
    </row>
    <row r="21" spans="1:11" x14ac:dyDescent="0.25">
      <c r="A21" s="4"/>
      <c r="B21" s="668" t="s">
        <v>1273</v>
      </c>
      <c r="C21" s="662"/>
      <c r="D21" s="662"/>
      <c r="E21" s="662"/>
      <c r="F21" s="662"/>
      <c r="G21" s="662"/>
      <c r="H21" s="663"/>
      <c r="I21" s="4"/>
      <c r="J21" s="4"/>
      <c r="K21" s="4"/>
    </row>
    <row r="22" spans="1:11" x14ac:dyDescent="0.25">
      <c r="A22" s="4"/>
      <c r="B22" s="669" t="s">
        <v>1662</v>
      </c>
      <c r="C22" s="664"/>
      <c r="D22" s="664"/>
      <c r="E22" s="664"/>
      <c r="F22" s="664"/>
      <c r="G22" s="664"/>
      <c r="H22" s="665"/>
      <c r="I22" s="4"/>
      <c r="J22" s="4"/>
      <c r="K22" s="4"/>
    </row>
    <row r="23" spans="1:11" x14ac:dyDescent="0.25">
      <c r="A23" s="4"/>
      <c r="B23" s="669" t="s">
        <v>1549</v>
      </c>
      <c r="C23" s="664"/>
      <c r="D23" s="664"/>
      <c r="E23" s="664"/>
      <c r="F23" s="664"/>
      <c r="G23" s="664"/>
      <c r="H23" s="665"/>
      <c r="I23" s="4"/>
      <c r="J23" s="4"/>
      <c r="K23" s="4"/>
    </row>
    <row r="24" spans="1:11" x14ac:dyDescent="0.25">
      <c r="A24" s="4"/>
      <c r="B24" s="669" t="s">
        <v>850</v>
      </c>
      <c r="C24" s="664"/>
      <c r="D24" s="664"/>
      <c r="E24" s="664"/>
      <c r="F24" s="664"/>
      <c r="G24" s="664"/>
      <c r="H24" s="665"/>
      <c r="I24" s="4"/>
      <c r="J24" s="4"/>
      <c r="K24" s="4"/>
    </row>
    <row r="25" spans="1:11" x14ac:dyDescent="0.25">
      <c r="A25" s="4"/>
      <c r="B25" s="669" t="s">
        <v>851</v>
      </c>
      <c r="C25" s="664"/>
      <c r="D25" s="664"/>
      <c r="E25" s="664"/>
      <c r="F25" s="664"/>
      <c r="G25" s="664"/>
      <c r="H25" s="665"/>
      <c r="I25" s="4"/>
      <c r="J25" s="4"/>
      <c r="K25" s="4"/>
    </row>
    <row r="26" spans="1:11" x14ac:dyDescent="0.25">
      <c r="A26" s="4"/>
      <c r="B26" s="670" t="s">
        <v>1129</v>
      </c>
      <c r="C26" s="666"/>
      <c r="D26" s="666"/>
      <c r="E26" s="666"/>
      <c r="F26" s="666"/>
      <c r="G26" s="666"/>
      <c r="H26" s="667"/>
      <c r="I26" s="4"/>
      <c r="J26" s="4"/>
      <c r="K26" s="4"/>
    </row>
    <row r="27" spans="1:11" x14ac:dyDescent="0.25">
      <c r="A27" s="4"/>
      <c r="B27" s="4"/>
      <c r="C27" s="4"/>
      <c r="D27" s="4"/>
      <c r="E27" s="4"/>
      <c r="F27" s="4"/>
      <c r="G27" s="4"/>
      <c r="H27" s="4"/>
      <c r="I27" s="4"/>
      <c r="J27" s="4"/>
      <c r="K27" s="4"/>
    </row>
    <row r="28" spans="1:11" x14ac:dyDescent="0.25">
      <c r="A28" s="4"/>
      <c r="B28" s="660" t="s">
        <v>1131</v>
      </c>
      <c r="C28" s="4"/>
      <c r="D28" s="4"/>
      <c r="E28" s="4"/>
      <c r="F28" s="4"/>
      <c r="G28" s="4"/>
      <c r="H28" s="4"/>
      <c r="I28" s="4"/>
      <c r="J28" s="4"/>
      <c r="K28" s="4"/>
    </row>
    <row r="29" spans="1:11" x14ac:dyDescent="0.25">
      <c r="A29" s="4"/>
      <c r="B29" s="4"/>
      <c r="C29" s="4"/>
      <c r="D29" s="4"/>
      <c r="E29" s="4"/>
      <c r="F29" s="4"/>
      <c r="G29" s="4"/>
      <c r="H29" s="4"/>
      <c r="I29" s="4"/>
      <c r="J29" s="4"/>
      <c r="K29" s="4"/>
    </row>
    <row r="30" spans="1:11" ht="12.75" customHeight="1" x14ac:dyDescent="0.25">
      <c r="A30" s="4"/>
      <c r="B30" s="4"/>
      <c r="C30" s="4"/>
      <c r="D30" s="4"/>
      <c r="E30" s="4"/>
      <c r="F30" s="4"/>
      <c r="G30" s="4"/>
      <c r="H30" s="4"/>
      <c r="I30" s="4"/>
      <c r="J30" s="4"/>
      <c r="K30" s="4"/>
    </row>
    <row r="31" spans="1:11" ht="18" customHeight="1" x14ac:dyDescent="0.25">
      <c r="A31" s="1799" t="s">
        <v>26</v>
      </c>
      <c r="B31" s="1799"/>
      <c r="C31" s="1799"/>
      <c r="D31" s="1799"/>
      <c r="E31" s="1799"/>
      <c r="F31" s="1799"/>
      <c r="G31" s="1799"/>
      <c r="H31" s="1799"/>
      <c r="I31" s="1799"/>
      <c r="J31" s="1799"/>
      <c r="K31" s="1799"/>
    </row>
    <row r="32" spans="1:11" x14ac:dyDescent="0.25">
      <c r="A32" s="4"/>
      <c r="B32" s="4"/>
      <c r="C32" s="4"/>
      <c r="D32" s="4"/>
      <c r="E32" s="4"/>
      <c r="F32" s="4"/>
      <c r="G32" s="4"/>
      <c r="H32" s="4"/>
      <c r="I32" s="4"/>
      <c r="J32" s="4"/>
      <c r="K32" s="4"/>
    </row>
    <row r="33" spans="1:13" x14ac:dyDescent="0.25">
      <c r="A33" s="4"/>
      <c r="B33" s="836" t="s">
        <v>1276</v>
      </c>
      <c r="C33" s="4"/>
      <c r="D33" s="4"/>
      <c r="E33" s="4"/>
      <c r="F33" s="4"/>
      <c r="G33" s="4"/>
      <c r="H33" s="4"/>
      <c r="I33" s="4"/>
      <c r="J33" s="4"/>
      <c r="K33" s="4"/>
    </row>
    <row r="34" spans="1:13" x14ac:dyDescent="0.25">
      <c r="A34" s="4"/>
      <c r="B34" s="660" t="s">
        <v>1130</v>
      </c>
      <c r="C34" s="4"/>
      <c r="D34" s="4"/>
      <c r="E34" s="4"/>
      <c r="F34" s="4"/>
      <c r="G34" s="4"/>
      <c r="H34" s="4"/>
      <c r="I34" s="4"/>
      <c r="J34" s="4"/>
      <c r="K34" s="4"/>
    </row>
    <row r="35" spans="1:13" x14ac:dyDescent="0.25">
      <c r="A35" s="4"/>
      <c r="B35" s="4"/>
      <c r="C35" s="4"/>
      <c r="D35" s="4"/>
      <c r="E35" s="4"/>
      <c r="F35" s="4"/>
      <c r="G35" s="4"/>
      <c r="H35" s="4"/>
      <c r="I35" s="4"/>
      <c r="J35" s="4"/>
      <c r="K35" s="4"/>
    </row>
    <row r="36" spans="1:13" x14ac:dyDescent="0.25">
      <c r="A36" s="4"/>
      <c r="B36" s="717" t="s">
        <v>1288</v>
      </c>
      <c r="C36" s="4"/>
      <c r="D36" s="4"/>
      <c r="E36" s="4"/>
      <c r="F36" s="4"/>
      <c r="G36" s="4"/>
      <c r="H36" s="4"/>
      <c r="I36" s="4"/>
      <c r="J36" s="4"/>
      <c r="K36" s="4"/>
    </row>
    <row r="37" spans="1:13" ht="11.25" customHeight="1" x14ac:dyDescent="0.25">
      <c r="A37" s="4"/>
      <c r="B37" s="672"/>
      <c r="C37" s="4"/>
      <c r="D37" s="4"/>
      <c r="E37" s="4"/>
      <c r="F37" s="4"/>
      <c r="G37" s="4"/>
      <c r="H37" s="4"/>
      <c r="I37" s="4"/>
      <c r="J37" s="4"/>
      <c r="K37" s="4"/>
    </row>
    <row r="38" spans="1:13" ht="18" customHeight="1" x14ac:dyDescent="0.25">
      <c r="A38" s="4"/>
      <c r="B38" s="381" t="s">
        <v>1134</v>
      </c>
      <c r="C38" s="382" t="s">
        <v>29</v>
      </c>
      <c r="D38" s="382" t="s">
        <v>43</v>
      </c>
      <c r="E38" s="576" t="s">
        <v>722</v>
      </c>
      <c r="F38" s="1815" t="s">
        <v>33</v>
      </c>
      <c r="G38" s="1816"/>
      <c r="H38" s="4"/>
      <c r="I38" s="4"/>
      <c r="J38" s="4"/>
      <c r="K38" s="4"/>
      <c r="M38" s="382" t="s">
        <v>1133</v>
      </c>
    </row>
    <row r="39" spans="1:13" ht="16.5" customHeight="1" x14ac:dyDescent="0.25">
      <c r="A39" s="4"/>
      <c r="B39" s="578"/>
      <c r="C39" s="570"/>
      <c r="D39" s="570"/>
      <c r="E39" s="578" t="s">
        <v>129</v>
      </c>
      <c r="F39" s="1798"/>
      <c r="G39" s="1798"/>
      <c r="H39" s="4"/>
      <c r="I39" s="4"/>
      <c r="J39" s="4"/>
      <c r="K39" s="4"/>
      <c r="M39" s="326">
        <f>IF(AND(E39&lt;&gt;"No",E39&lt;&gt;"Select"),D39*C39,0)</f>
        <v>0</v>
      </c>
    </row>
    <row r="40" spans="1:13" ht="16.5" customHeight="1" x14ac:dyDescent="0.25">
      <c r="A40" s="4"/>
      <c r="B40" s="578"/>
      <c r="C40" s="577"/>
      <c r="D40" s="577"/>
      <c r="E40" s="982" t="s">
        <v>129</v>
      </c>
      <c r="F40" s="1798"/>
      <c r="G40" s="1798"/>
      <c r="H40" s="4"/>
      <c r="I40" s="4"/>
      <c r="J40" s="4"/>
      <c r="K40" s="4"/>
      <c r="M40" s="579">
        <f t="shared" ref="M40:M48" si="0">IF(AND(E40&lt;&gt;"No",E40&lt;&gt;"Select"),D40*C40,0)</f>
        <v>0</v>
      </c>
    </row>
    <row r="41" spans="1:13" ht="16.5" customHeight="1" x14ac:dyDescent="0.25">
      <c r="A41" s="4"/>
      <c r="B41" s="578"/>
      <c r="C41" s="577"/>
      <c r="D41" s="577"/>
      <c r="E41" s="982" t="s">
        <v>129</v>
      </c>
      <c r="F41" s="1798"/>
      <c r="G41" s="1798"/>
      <c r="H41" s="4"/>
      <c r="I41" s="4"/>
      <c r="J41" s="4"/>
      <c r="K41" s="4"/>
      <c r="M41" s="579">
        <f t="shared" si="0"/>
        <v>0</v>
      </c>
    </row>
    <row r="42" spans="1:13" ht="16.5" customHeight="1" x14ac:dyDescent="0.25">
      <c r="A42" s="4"/>
      <c r="B42" s="578"/>
      <c r="C42" s="577"/>
      <c r="D42" s="577"/>
      <c r="E42" s="982" t="s">
        <v>129</v>
      </c>
      <c r="F42" s="1798"/>
      <c r="G42" s="1798"/>
      <c r="H42" s="4"/>
      <c r="I42" s="4"/>
      <c r="J42" s="4"/>
      <c r="K42" s="4"/>
      <c r="M42" s="579">
        <f t="shared" si="0"/>
        <v>0</v>
      </c>
    </row>
    <row r="43" spans="1:13" ht="16.5" customHeight="1" x14ac:dyDescent="0.25">
      <c r="A43" s="4"/>
      <c r="B43" s="578"/>
      <c r="C43" s="577"/>
      <c r="D43" s="577"/>
      <c r="E43" s="982" t="s">
        <v>129</v>
      </c>
      <c r="F43" s="1798"/>
      <c r="G43" s="1798"/>
      <c r="H43" s="4"/>
      <c r="I43" s="4"/>
      <c r="J43" s="4"/>
      <c r="K43" s="4"/>
      <c r="M43" s="579">
        <f t="shared" si="0"/>
        <v>0</v>
      </c>
    </row>
    <row r="44" spans="1:13" ht="16.5" customHeight="1" x14ac:dyDescent="0.25">
      <c r="A44" s="4"/>
      <c r="B44" s="578"/>
      <c r="C44" s="577"/>
      <c r="D44" s="577"/>
      <c r="E44" s="982" t="s">
        <v>129</v>
      </c>
      <c r="F44" s="1798"/>
      <c r="G44" s="1798"/>
      <c r="H44" s="4"/>
      <c r="I44" s="4"/>
      <c r="J44" s="4"/>
      <c r="K44" s="4"/>
      <c r="M44" s="579">
        <f t="shared" si="0"/>
        <v>0</v>
      </c>
    </row>
    <row r="45" spans="1:13" ht="16.5" customHeight="1" x14ac:dyDescent="0.25">
      <c r="A45" s="4"/>
      <c r="B45" s="578"/>
      <c r="C45" s="577"/>
      <c r="D45" s="577"/>
      <c r="E45" s="982" t="s">
        <v>129</v>
      </c>
      <c r="F45" s="1798"/>
      <c r="G45" s="1798"/>
      <c r="H45" s="4"/>
      <c r="I45" s="4"/>
      <c r="J45" s="4"/>
      <c r="K45" s="4"/>
      <c r="M45" s="579">
        <f t="shared" si="0"/>
        <v>0</v>
      </c>
    </row>
    <row r="46" spans="1:13" ht="16.5" customHeight="1" x14ac:dyDescent="0.25">
      <c r="A46" s="4"/>
      <c r="B46" s="578"/>
      <c r="C46" s="577"/>
      <c r="D46" s="577"/>
      <c r="E46" s="982" t="s">
        <v>129</v>
      </c>
      <c r="F46" s="1798"/>
      <c r="G46" s="1798"/>
      <c r="H46" s="4"/>
      <c r="I46" s="4"/>
      <c r="J46" s="4"/>
      <c r="K46" s="4"/>
      <c r="M46" s="579">
        <f t="shared" si="0"/>
        <v>0</v>
      </c>
    </row>
    <row r="47" spans="1:13" ht="16.5" customHeight="1" x14ac:dyDescent="0.25">
      <c r="A47" s="4"/>
      <c r="B47" s="578"/>
      <c r="C47" s="577"/>
      <c r="D47" s="577"/>
      <c r="E47" s="982" t="s">
        <v>129</v>
      </c>
      <c r="F47" s="1798"/>
      <c r="G47" s="1798"/>
      <c r="H47" s="4"/>
      <c r="I47" s="4"/>
      <c r="J47" s="4"/>
      <c r="K47" s="4"/>
      <c r="M47" s="579">
        <f t="shared" si="0"/>
        <v>0</v>
      </c>
    </row>
    <row r="48" spans="1:13" ht="16.5" customHeight="1" x14ac:dyDescent="0.25">
      <c r="A48" s="4"/>
      <c r="B48" s="578"/>
      <c r="C48" s="577"/>
      <c r="D48" s="577"/>
      <c r="E48" s="982" t="s">
        <v>129</v>
      </c>
      <c r="F48" s="1798"/>
      <c r="G48" s="1798"/>
      <c r="H48" s="4"/>
      <c r="I48" s="4"/>
      <c r="J48" s="4"/>
      <c r="K48" s="4"/>
      <c r="M48" s="579">
        <f t="shared" si="0"/>
        <v>0</v>
      </c>
    </row>
    <row r="49" spans="1:11" x14ac:dyDescent="0.25">
      <c r="A49" s="4"/>
      <c r="B49" s="4"/>
      <c r="C49" s="4"/>
      <c r="D49" s="4"/>
      <c r="E49" s="4"/>
      <c r="F49" s="4"/>
      <c r="G49" s="4"/>
      <c r="H49" s="4"/>
      <c r="I49" s="4"/>
      <c r="J49" s="4"/>
      <c r="K49" s="4"/>
    </row>
    <row r="50" spans="1:11" ht="20.25" customHeight="1" x14ac:dyDescent="0.25">
      <c r="A50" s="4"/>
      <c r="B50" s="1814" t="s">
        <v>1257</v>
      </c>
      <c r="C50" s="1814"/>
      <c r="D50" s="1814"/>
      <c r="E50" s="1197">
        <f>SUM(M39:M48)</f>
        <v>0</v>
      </c>
      <c r="F50" s="4"/>
      <c r="G50" s="4"/>
      <c r="H50" s="4"/>
      <c r="I50" s="4"/>
      <c r="J50" s="4"/>
      <c r="K50" s="4"/>
    </row>
    <row r="51" spans="1:11" ht="18" customHeight="1" x14ac:dyDescent="0.25">
      <c r="A51" s="4"/>
      <c r="B51" s="1814" t="s">
        <v>1256</v>
      </c>
      <c r="C51" s="1814"/>
      <c r="D51" s="1814"/>
      <c r="E51" s="1199">
        <f>SUMPRODUCT(C39:C48,D39:D48)</f>
        <v>0</v>
      </c>
      <c r="F51" s="4"/>
      <c r="G51" s="4"/>
      <c r="H51" s="4"/>
      <c r="I51" s="4"/>
      <c r="J51" s="4"/>
      <c r="K51" s="4"/>
    </row>
    <row r="52" spans="1:11" ht="19.5" customHeight="1" x14ac:dyDescent="0.25">
      <c r="A52" s="4"/>
      <c r="B52" s="1814" t="s">
        <v>1132</v>
      </c>
      <c r="C52" s="1814"/>
      <c r="D52" s="1814"/>
      <c r="E52" s="1198">
        <f>IFERROR(E50/E51,0)</f>
        <v>0</v>
      </c>
      <c r="F52" s="4"/>
      <c r="G52" s="4"/>
      <c r="H52" s="4"/>
      <c r="I52" s="4"/>
      <c r="J52" s="4"/>
      <c r="K52" s="4"/>
    </row>
    <row r="53" spans="1:11" ht="18" customHeight="1" x14ac:dyDescent="0.25">
      <c r="A53" s="4"/>
      <c r="B53" s="4"/>
      <c r="C53" s="4"/>
      <c r="D53" s="4"/>
      <c r="E53" s="4"/>
      <c r="F53" s="4"/>
      <c r="G53" s="4"/>
      <c r="H53" s="4"/>
      <c r="I53" s="4"/>
      <c r="J53" s="4"/>
      <c r="K53" s="4"/>
    </row>
    <row r="54" spans="1:11" ht="18" customHeight="1" x14ac:dyDescent="0.25">
      <c r="A54" s="1799" t="s">
        <v>200</v>
      </c>
      <c r="B54" s="1799"/>
      <c r="C54" s="1799"/>
      <c r="D54" s="1799"/>
      <c r="E54" s="1799"/>
      <c r="F54" s="1799"/>
      <c r="G54" s="1799"/>
      <c r="H54" s="1799"/>
      <c r="I54" s="1799"/>
      <c r="J54" s="1799"/>
      <c r="K54" s="1799"/>
    </row>
    <row r="55" spans="1:11" x14ac:dyDescent="0.25">
      <c r="A55" s="4"/>
      <c r="B55" s="4"/>
      <c r="C55" s="4"/>
      <c r="D55" s="4"/>
      <c r="E55" s="4"/>
      <c r="F55" s="4"/>
      <c r="G55" s="4"/>
      <c r="H55" s="4"/>
      <c r="I55" s="4"/>
      <c r="J55" s="4"/>
      <c r="K55" s="4"/>
    </row>
    <row r="56" spans="1:11" ht="18" customHeight="1" x14ac:dyDescent="0.25">
      <c r="A56" s="4"/>
      <c r="B56" s="1811" t="s">
        <v>2103</v>
      </c>
      <c r="C56" s="1812"/>
      <c r="D56" s="1812"/>
      <c r="E56" s="1812"/>
      <c r="F56" s="1812"/>
      <c r="G56" s="1079" t="s">
        <v>2101</v>
      </c>
      <c r="H56" s="1804" t="s">
        <v>2102</v>
      </c>
      <c r="I56" s="1805"/>
      <c r="J56" s="4"/>
      <c r="K56" s="4"/>
    </row>
    <row r="57" spans="1:11" ht="24" customHeight="1" x14ac:dyDescent="0.25">
      <c r="A57" s="4"/>
      <c r="B57" s="1436" t="s">
        <v>1860</v>
      </c>
      <c r="C57" s="1437"/>
      <c r="D57" s="1437"/>
      <c r="E57" s="1437"/>
      <c r="F57" s="1438"/>
      <c r="G57" s="518" t="s">
        <v>129</v>
      </c>
      <c r="H57" s="1441"/>
      <c r="I57" s="1442"/>
      <c r="J57" s="4"/>
      <c r="K57" s="4"/>
    </row>
    <row r="58" spans="1:11" ht="24" customHeight="1" x14ac:dyDescent="0.25">
      <c r="A58" s="4"/>
      <c r="B58" s="1436" t="s">
        <v>1861</v>
      </c>
      <c r="C58" s="1437"/>
      <c r="D58" s="1437"/>
      <c r="E58" s="1437"/>
      <c r="F58" s="1438"/>
      <c r="G58" s="573" t="s">
        <v>129</v>
      </c>
      <c r="H58" s="1441"/>
      <c r="I58" s="1442"/>
      <c r="J58" s="4"/>
      <c r="K58" s="4"/>
    </row>
    <row r="59" spans="1:11" ht="18.75" customHeight="1" x14ac:dyDescent="0.25">
      <c r="A59" s="4"/>
      <c r="B59" s="4"/>
      <c r="C59" s="4"/>
      <c r="D59" s="4"/>
      <c r="E59" s="4"/>
      <c r="F59" s="4"/>
      <c r="G59" s="4"/>
      <c r="H59" s="4"/>
      <c r="I59" s="4"/>
      <c r="J59" s="4"/>
      <c r="K59" s="4"/>
    </row>
    <row r="60" spans="1:11" ht="18" customHeight="1" x14ac:dyDescent="0.25">
      <c r="A60" s="1799" t="s">
        <v>25</v>
      </c>
      <c r="B60" s="1799"/>
      <c r="C60" s="1799"/>
      <c r="D60" s="1799"/>
      <c r="E60" s="1799"/>
      <c r="F60" s="1799"/>
      <c r="G60" s="1799"/>
      <c r="H60" s="1799"/>
      <c r="I60" s="1799"/>
      <c r="J60" s="1799"/>
      <c r="K60" s="1799"/>
    </row>
    <row r="61" spans="1:11" x14ac:dyDescent="0.25">
      <c r="A61" s="4"/>
      <c r="B61" s="4"/>
      <c r="C61" s="4"/>
      <c r="D61" s="4"/>
      <c r="E61" s="4"/>
      <c r="F61" s="4"/>
      <c r="G61" s="4"/>
      <c r="H61" s="4"/>
      <c r="I61" s="4"/>
      <c r="J61" s="4"/>
      <c r="K61" s="4"/>
    </row>
    <row r="62" spans="1:11" ht="18" customHeight="1" x14ac:dyDescent="0.25">
      <c r="A62" s="4"/>
      <c r="B62" s="319" t="s">
        <v>56</v>
      </c>
      <c r="C62" s="1193">
        <f>IF(E52&gt;=0.8,2,IF(E52&gt;=0.4,1,0))</f>
        <v>0</v>
      </c>
      <c r="D62" s="4"/>
      <c r="E62" s="4"/>
      <c r="F62" s="4"/>
      <c r="G62" s="4"/>
      <c r="H62" s="4"/>
      <c r="I62" s="4"/>
      <c r="J62" s="4"/>
      <c r="K62" s="4"/>
    </row>
    <row r="63" spans="1:11" ht="18" customHeight="1" x14ac:dyDescent="0.25">
      <c r="A63" s="4"/>
      <c r="B63" s="320" t="s">
        <v>521</v>
      </c>
      <c r="C63" s="1193" t="str">
        <f>IF(AND(COUNTIF(G57:G58,"Submitted")=2,C62&gt;0),"Yes","No")</f>
        <v>No</v>
      </c>
      <c r="D63" s="4"/>
      <c r="E63" s="4"/>
      <c r="F63" s="4"/>
      <c r="G63" s="4"/>
      <c r="H63" s="4"/>
      <c r="I63" s="4"/>
      <c r="J63" s="4"/>
      <c r="K63" s="4"/>
    </row>
    <row r="64" spans="1:11" ht="19.5" customHeight="1" x14ac:dyDescent="0.25">
      <c r="A64" s="4"/>
      <c r="B64" s="4"/>
      <c r="C64" s="4"/>
      <c r="D64" s="4"/>
      <c r="E64" s="4"/>
      <c r="F64" s="4"/>
      <c r="G64" s="4"/>
      <c r="H64" s="4"/>
      <c r="I64" s="4"/>
      <c r="J64" s="4"/>
      <c r="K64" s="4"/>
    </row>
    <row r="65" spans="1:11" ht="14.25" hidden="1" customHeight="1" x14ac:dyDescent="0.25">
      <c r="A65" s="4"/>
      <c r="B65" s="4"/>
      <c r="C65" s="4"/>
      <c r="D65" s="4"/>
      <c r="E65" s="4"/>
      <c r="F65" s="4"/>
      <c r="G65" s="4"/>
      <c r="H65" s="4"/>
      <c r="I65" s="4"/>
      <c r="J65" s="4"/>
      <c r="K65" s="4"/>
    </row>
    <row r="66" spans="1:11" ht="15" hidden="1" customHeight="1" x14ac:dyDescent="0.25"/>
    <row r="67" spans="1:11" ht="15" hidden="1" customHeight="1" x14ac:dyDescent="0.25"/>
    <row r="68" spans="1:11" ht="15" hidden="1" customHeight="1" x14ac:dyDescent="0.25"/>
    <row r="69" spans="1:11" ht="15" hidden="1" customHeight="1" x14ac:dyDescent="0.25"/>
    <row r="70" spans="1:11" ht="15" hidden="1" customHeight="1" x14ac:dyDescent="0.25"/>
    <row r="71" spans="1:11" ht="15" hidden="1" customHeight="1" x14ac:dyDescent="0.25"/>
    <row r="72" spans="1:11" ht="15" hidden="1" customHeight="1" x14ac:dyDescent="0.25"/>
    <row r="73" spans="1:11" ht="15" hidden="1" customHeight="1" x14ac:dyDescent="0.25"/>
    <row r="74" spans="1:11" ht="15" hidden="1" customHeight="1" x14ac:dyDescent="0.25"/>
    <row r="75" spans="1:11" ht="15" hidden="1" customHeight="1" x14ac:dyDescent="0.25"/>
    <row r="76" spans="1:11" ht="15" hidden="1" customHeight="1" x14ac:dyDescent="0.25"/>
    <row r="77" spans="1:11" ht="15" hidden="1" customHeight="1" x14ac:dyDescent="0.25"/>
    <row r="78" spans="1:11" ht="15" hidden="1" customHeight="1" x14ac:dyDescent="0.25"/>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sheetData>
  <sheetProtection algorithmName="SHA-512" hashValue="cGYjx92HHz9vPyfhBvS2XN2pHYxB1ndm288QQEoev5rmYX4jm/jyPj9+LhXjl98c4pIPvk5Qrpoj0KFis3n9tA==" saltValue="VcaFh7IUF5Hq3Me5MMqv7A==" spinCount="100000" sheet="1" objects="1" scenarios="1"/>
  <mergeCells count="30">
    <mergeCell ref="A60:K60"/>
    <mergeCell ref="A9:K9"/>
    <mergeCell ref="B58:F58"/>
    <mergeCell ref="F44:G44"/>
    <mergeCell ref="F48:G48"/>
    <mergeCell ref="B50:D50"/>
    <mergeCell ref="B51:D51"/>
    <mergeCell ref="B52:D52"/>
    <mergeCell ref="B57:F57"/>
    <mergeCell ref="B12:E12"/>
    <mergeCell ref="F47:G47"/>
    <mergeCell ref="B11:E11"/>
    <mergeCell ref="F38:G38"/>
    <mergeCell ref="F39:G39"/>
    <mergeCell ref="F40:G40"/>
    <mergeCell ref="F43:G43"/>
    <mergeCell ref="B56:F56"/>
    <mergeCell ref="H56:I56"/>
    <mergeCell ref="H57:I57"/>
    <mergeCell ref="H58:I58"/>
    <mergeCell ref="A1:K1"/>
    <mergeCell ref="A54:K54"/>
    <mergeCell ref="H2:I4"/>
    <mergeCell ref="A5:K7"/>
    <mergeCell ref="F46:G46"/>
    <mergeCell ref="F41:G41"/>
    <mergeCell ref="F42:G42"/>
    <mergeCell ref="F45:G45"/>
    <mergeCell ref="A14:K14"/>
    <mergeCell ref="A31:K31"/>
  </mergeCells>
  <conditionalFormatting sqref="F12 B12">
    <cfRule type="expression" dxfId="165" priority="455">
      <formula>OR(#REF!="No",#REF!="Không")</formula>
    </cfRule>
  </conditionalFormatting>
  <conditionalFormatting sqref="F12 B12">
    <cfRule type="expression" dxfId="164" priority="457">
      <formula>OR($D12="No",$D12="Không")</formula>
    </cfRule>
    <cfRule type="expression" dxfId="163" priority="458">
      <formula>OR(#REF!="No",#REF!="Không")</formula>
    </cfRule>
  </conditionalFormatting>
  <conditionalFormatting sqref="G57">
    <cfRule type="expression" dxfId="162" priority="6">
      <formula>#REF!&lt;&gt;"Prescriptive Path"</formula>
    </cfRule>
  </conditionalFormatting>
  <conditionalFormatting sqref="G58">
    <cfRule type="expression" dxfId="161" priority="4">
      <formula>#REF!&lt;&gt;"Prescriptive Path"</formula>
    </cfRule>
  </conditionalFormatting>
  <conditionalFormatting sqref="H56:I56">
    <cfRule type="expression" dxfId="160" priority="3">
      <formula>#REF!&lt;&gt;"Prescriptive Path"</formula>
    </cfRule>
  </conditionalFormatting>
  <conditionalFormatting sqref="I57">
    <cfRule type="expression" dxfId="159" priority="2">
      <formula>#REF!&lt;&gt;"Prescriptive Path"</formula>
    </cfRule>
  </conditionalFormatting>
  <conditionalFormatting sqref="I58">
    <cfRule type="expression" dxfId="158" priority="1">
      <formula>#REF!&lt;&gt;"Prescriptive Path"</formula>
    </cfRule>
  </conditionalFormatting>
  <dataValidations count="4">
    <dataValidation type="list" allowBlank="1" showInputMessage="1" showErrorMessage="1" sqref="G57:G58">
      <formula1>"Select,Submitted,Not submitted"</formula1>
    </dataValidation>
    <dataValidation allowBlank="1" showInputMessage="1" showErrorMessage="1" prompt="Enter the name of the window/door" sqref="B39:B48"/>
    <dataValidation allowBlank="1" showInputMessage="1" showErrorMessage="1" prompt="Provide more details on the sustainable feature of the window/door frame" sqref="F39:G48"/>
    <dataValidation type="list" allowBlank="1" showInputMessage="1" showErrorMessage="1" sqref="E39:E48">
      <formula1>"Select,Reused,Recycled content,Sustainable timber,Rapidly renewable material,Local material,No"</formula1>
    </dataValidation>
  </dataValidations>
  <hyperlinks>
    <hyperlink ref="K2" location="'M-5 Roofing materials'!D3" tooltip="M-5" display="M-5"/>
    <hyperlink ref="K3" location="'M-6 Furniture'!D3" tooltip="M-6" display="M-6"/>
    <hyperlink ref="J4" location="'M-4 Flooring materials'!D3" tooltip="M-4" display="M-4"/>
    <hyperlink ref="J3" location="'M-2 Non-structural walls'!D3" tooltip="M-2" display="M-2"/>
    <hyperlink ref="J2" location="'M-1 Structure Materials'!D3" tooltip="M-1" display="M-1"/>
  </hyperlink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Q143"/>
  <sheetViews>
    <sheetView showGridLines="0" showRowColHeaders="0" zoomScaleNormal="100" workbookViewId="0">
      <pane ySplit="6" topLeftCell="A7" activePane="bottomLeft" state="frozen"/>
      <selection activeCell="D11" sqref="D11:G12"/>
      <selection pane="bottomLeft" activeCell="M3" sqref="M3"/>
    </sheetView>
  </sheetViews>
  <sheetFormatPr defaultColWidth="0" defaultRowHeight="15" zeroHeight="1" x14ac:dyDescent="0.25"/>
  <cols>
    <col min="1" max="1" width="3.7109375" customWidth="1"/>
    <col min="2" max="3" width="10.7109375" customWidth="1"/>
    <col min="4" max="9" width="13" customWidth="1"/>
    <col min="10" max="16" width="10.7109375" customWidth="1"/>
    <col min="17" max="17" width="5.42578125" customWidth="1"/>
    <col min="18" max="16384" width="9.140625" hidden="1"/>
  </cols>
  <sheetData>
    <row r="1" spans="1:17" ht="28.5" x14ac:dyDescent="0.25">
      <c r="A1" s="1214" t="s">
        <v>1226</v>
      </c>
      <c r="B1" s="1215"/>
      <c r="C1" s="1215"/>
      <c r="D1" s="1215"/>
      <c r="E1" s="1215"/>
      <c r="F1" s="1215"/>
      <c r="G1" s="1215"/>
      <c r="H1" s="1215"/>
      <c r="I1" s="1215"/>
      <c r="J1" s="1210" t="s">
        <v>1224</v>
      </c>
      <c r="K1" s="1210"/>
      <c r="L1" s="1210"/>
      <c r="M1" s="1210"/>
      <c r="N1" s="1210"/>
      <c r="O1" s="1210"/>
      <c r="P1" s="1210"/>
      <c r="Q1" s="629"/>
    </row>
    <row r="2" spans="1:17" ht="6" customHeight="1" x14ac:dyDescent="0.3">
      <c r="A2" s="303"/>
      <c r="B2" s="1213"/>
      <c r="C2" s="1213"/>
      <c r="D2" s="620"/>
      <c r="E2" s="620"/>
      <c r="F2" s="303"/>
      <c r="G2" s="630"/>
      <c r="H2" s="629"/>
      <c r="I2" s="629"/>
      <c r="J2" s="1209"/>
      <c r="K2" s="1209"/>
      <c r="L2" s="631"/>
      <c r="M2" s="631"/>
      <c r="N2" s="303"/>
      <c r="O2" s="303"/>
      <c r="P2" s="629"/>
      <c r="Q2" s="629"/>
    </row>
    <row r="3" spans="1:17" ht="18.75" x14ac:dyDescent="0.3">
      <c r="A3" s="303"/>
      <c r="B3" s="1213" t="s">
        <v>1225</v>
      </c>
      <c r="C3" s="1213"/>
      <c r="D3" s="1213" t="s">
        <v>1229</v>
      </c>
      <c r="E3" s="1213"/>
      <c r="F3" s="303"/>
      <c r="G3" s="630"/>
      <c r="H3" s="629"/>
      <c r="I3" s="629"/>
      <c r="J3" s="632"/>
      <c r="K3" s="632"/>
      <c r="L3" s="631"/>
      <c r="M3" s="631"/>
      <c r="N3" s="303"/>
      <c r="O3" s="303"/>
      <c r="P3" s="629"/>
      <c r="Q3" s="629"/>
    </row>
    <row r="4" spans="1:17" ht="18.75" x14ac:dyDescent="0.3">
      <c r="A4" s="303"/>
      <c r="B4" s="1213" t="s">
        <v>1227</v>
      </c>
      <c r="C4" s="1213"/>
      <c r="D4" s="1213" t="s">
        <v>1230</v>
      </c>
      <c r="E4" s="1213"/>
      <c r="F4" s="303"/>
      <c r="G4" s="630"/>
      <c r="H4" s="629"/>
      <c r="I4" s="629"/>
      <c r="J4" s="632"/>
      <c r="K4" s="632"/>
      <c r="L4" s="303"/>
      <c r="M4" s="303"/>
      <c r="N4" s="303"/>
      <c r="O4" s="303"/>
      <c r="P4" s="629"/>
      <c r="Q4" s="629"/>
    </row>
    <row r="5" spans="1:17" ht="18.75" customHeight="1" x14ac:dyDescent="0.3">
      <c r="A5" s="303"/>
      <c r="B5" s="1213" t="s">
        <v>1228</v>
      </c>
      <c r="C5" s="1213"/>
      <c r="D5" s="1213" t="s">
        <v>1231</v>
      </c>
      <c r="E5" s="1213"/>
      <c r="F5" s="303"/>
      <c r="G5" s="630"/>
      <c r="H5" s="629"/>
      <c r="I5" s="629"/>
      <c r="J5" s="303"/>
      <c r="K5" s="303"/>
      <c r="L5" s="303"/>
      <c r="M5" s="303"/>
      <c r="N5" s="303"/>
      <c r="O5" s="303"/>
      <c r="P5" s="629"/>
      <c r="Q5" s="629"/>
    </row>
    <row r="6" spans="1:17" ht="12" customHeight="1" x14ac:dyDescent="0.25">
      <c r="A6" s="621"/>
      <c r="B6" s="621"/>
      <c r="C6" s="621"/>
      <c r="D6" s="621"/>
      <c r="E6" s="630"/>
      <c r="F6" s="630"/>
      <c r="G6" s="630"/>
      <c r="H6" s="629"/>
      <c r="I6" s="629"/>
      <c r="J6" s="629"/>
      <c r="K6" s="629"/>
      <c r="L6" s="300"/>
      <c r="M6" s="300"/>
      <c r="N6" s="300"/>
      <c r="O6" s="300"/>
      <c r="P6" s="629"/>
      <c r="Q6" s="629"/>
    </row>
    <row r="7" spans="1:17" ht="12" customHeight="1" x14ac:dyDescent="0.25">
      <c r="A7" s="678"/>
      <c r="B7" s="678"/>
      <c r="C7" s="678"/>
      <c r="D7" s="678"/>
      <c r="E7" s="678"/>
      <c r="F7" s="678"/>
      <c r="G7" s="678"/>
      <c r="H7" s="678"/>
      <c r="I7" s="678"/>
      <c r="J7" s="678"/>
      <c r="K7" s="678"/>
      <c r="L7" s="678"/>
      <c r="M7" s="678"/>
      <c r="N7" s="678"/>
      <c r="O7" s="679"/>
      <c r="P7" s="678"/>
      <c r="Q7" s="678"/>
    </row>
    <row r="8" spans="1:17" ht="33" customHeight="1" x14ac:dyDescent="0.25">
      <c r="A8" s="678"/>
      <c r="B8" s="1216" t="s">
        <v>2389</v>
      </c>
      <c r="C8" s="1216"/>
      <c r="D8" s="1216"/>
      <c r="E8" s="1216"/>
      <c r="F8" s="1216"/>
      <c r="G8" s="1216"/>
      <c r="H8" s="1216"/>
      <c r="I8" s="1216"/>
      <c r="J8" s="1216"/>
      <c r="K8" s="1216"/>
      <c r="L8" s="1216"/>
      <c r="M8" s="1216"/>
      <c r="N8" s="1216"/>
      <c r="O8" s="1216"/>
      <c r="P8" s="1216"/>
      <c r="Q8" s="678"/>
    </row>
    <row r="9" spans="1:17" ht="9" customHeight="1" x14ac:dyDescent="0.25">
      <c r="A9" s="678"/>
      <c r="B9" s="680"/>
      <c r="C9" s="680"/>
      <c r="D9" s="680"/>
      <c r="E9" s="680"/>
      <c r="F9" s="680"/>
      <c r="G9" s="680"/>
      <c r="H9" s="680"/>
      <c r="I9" s="680"/>
      <c r="J9" s="680"/>
      <c r="K9" s="680"/>
      <c r="L9" s="680"/>
      <c r="M9" s="680"/>
      <c r="N9" s="680"/>
      <c r="O9" s="680"/>
      <c r="P9" s="680"/>
      <c r="Q9" s="678"/>
    </row>
    <row r="10" spans="1:17" ht="19.5" customHeight="1" x14ac:dyDescent="0.25">
      <c r="A10" s="678"/>
      <c r="B10" s="1211" t="s">
        <v>1858</v>
      </c>
      <c r="C10" s="1211"/>
      <c r="D10" s="1211"/>
      <c r="E10" s="1211"/>
      <c r="F10" s="681"/>
      <c r="G10" s="681"/>
      <c r="H10" s="681"/>
      <c r="I10" s="681"/>
      <c r="J10" s="681"/>
      <c r="K10" s="681"/>
      <c r="L10" s="681"/>
      <c r="M10" s="681"/>
      <c r="N10" s="681"/>
      <c r="O10" s="681"/>
      <c r="P10" s="681"/>
      <c r="Q10" s="678"/>
    </row>
    <row r="11" spans="1:17" ht="7.5" customHeight="1" x14ac:dyDescent="0.25">
      <c r="A11" s="678"/>
      <c r="B11" s="682"/>
      <c r="C11" s="682"/>
      <c r="D11" s="682"/>
      <c r="E11" s="682"/>
      <c r="F11" s="681"/>
      <c r="G11" s="681"/>
      <c r="H11" s="681"/>
      <c r="I11" s="681"/>
      <c r="J11" s="681"/>
      <c r="K11" s="681"/>
      <c r="L11" s="681"/>
      <c r="M11" s="681"/>
      <c r="N11" s="681"/>
      <c r="O11" s="681"/>
      <c r="P11" s="681"/>
      <c r="Q11" s="678"/>
    </row>
    <row r="12" spans="1:17" ht="15" customHeight="1" x14ac:dyDescent="0.25">
      <c r="A12" s="678"/>
      <c r="B12" s="1212" t="s">
        <v>1206</v>
      </c>
      <c r="C12" s="1212"/>
      <c r="D12" s="1212"/>
      <c r="E12" s="1212"/>
      <c r="F12" s="1212"/>
      <c r="G12" s="1212"/>
      <c r="H12" s="1212"/>
      <c r="I12" s="1212"/>
      <c r="J12" s="1212"/>
      <c r="K12" s="1212"/>
      <c r="L12" s="1212"/>
      <c r="M12" s="1212"/>
      <c r="N12" s="1212"/>
      <c r="O12" s="1212"/>
      <c r="P12" s="1212"/>
      <c r="Q12" s="678"/>
    </row>
    <row r="13" spans="1:17" x14ac:dyDescent="0.25">
      <c r="A13" s="678"/>
      <c r="B13" s="1212"/>
      <c r="C13" s="1212"/>
      <c r="D13" s="1212"/>
      <c r="E13" s="1212"/>
      <c r="F13" s="1212"/>
      <c r="G13" s="1212"/>
      <c r="H13" s="1212"/>
      <c r="I13" s="1212"/>
      <c r="J13" s="1212"/>
      <c r="K13" s="1212"/>
      <c r="L13" s="1212"/>
      <c r="M13" s="1212"/>
      <c r="N13" s="1212"/>
      <c r="O13" s="1212"/>
      <c r="P13" s="1212"/>
      <c r="Q13" s="678"/>
    </row>
    <row r="14" spans="1:17" ht="15" customHeight="1" x14ac:dyDescent="0.25">
      <c r="A14" s="678"/>
      <c r="B14" s="1221" t="s">
        <v>1293</v>
      </c>
      <c r="C14" s="1221"/>
      <c r="D14" s="1221"/>
      <c r="E14" s="1221"/>
      <c r="F14" s="1221"/>
      <c r="G14" s="1221"/>
      <c r="H14" s="1221"/>
      <c r="I14" s="1221"/>
      <c r="J14" s="1221"/>
      <c r="K14" s="1221"/>
      <c r="L14" s="1221"/>
      <c r="M14" s="1221"/>
      <c r="N14" s="1221"/>
      <c r="O14" s="1221"/>
      <c r="P14" s="1221"/>
      <c r="Q14" s="678"/>
    </row>
    <row r="15" spans="1:17" ht="15" customHeight="1" x14ac:dyDescent="0.25">
      <c r="A15" s="678"/>
      <c r="B15" s="1221"/>
      <c r="C15" s="1221"/>
      <c r="D15" s="1221"/>
      <c r="E15" s="1221"/>
      <c r="F15" s="1221"/>
      <c r="G15" s="1221"/>
      <c r="H15" s="1221"/>
      <c r="I15" s="1221"/>
      <c r="J15" s="1221"/>
      <c r="K15" s="1221"/>
      <c r="L15" s="1221"/>
      <c r="M15" s="1221"/>
      <c r="N15" s="1221"/>
      <c r="O15" s="1221"/>
      <c r="P15" s="1221"/>
      <c r="Q15" s="678"/>
    </row>
    <row r="16" spans="1:17" ht="15" customHeight="1" x14ac:dyDescent="0.25">
      <c r="A16" s="678"/>
      <c r="B16" s="1221"/>
      <c r="C16" s="1221"/>
      <c r="D16" s="1221"/>
      <c r="E16" s="1221"/>
      <c r="F16" s="1221"/>
      <c r="G16" s="1221"/>
      <c r="H16" s="1221"/>
      <c r="I16" s="1221"/>
      <c r="J16" s="1221"/>
      <c r="K16" s="1221"/>
      <c r="L16" s="1221"/>
      <c r="M16" s="1221"/>
      <c r="N16" s="1221"/>
      <c r="O16" s="1221"/>
      <c r="P16" s="1221"/>
      <c r="Q16" s="678"/>
    </row>
    <row r="17" spans="1:17" ht="15" customHeight="1" x14ac:dyDescent="0.25">
      <c r="A17" s="678"/>
      <c r="B17" s="1222" t="s">
        <v>2438</v>
      </c>
      <c r="C17" s="1222"/>
      <c r="D17" s="1222"/>
      <c r="E17" s="1222"/>
      <c r="F17" s="1222"/>
      <c r="G17" s="1222"/>
      <c r="H17" s="1222"/>
      <c r="I17" s="1222"/>
      <c r="J17" s="1222"/>
      <c r="K17" s="1222"/>
      <c r="L17" s="1222"/>
      <c r="M17" s="1222"/>
      <c r="N17" s="1222"/>
      <c r="O17" s="1222"/>
      <c r="P17" s="1222"/>
      <c r="Q17" s="678"/>
    </row>
    <row r="18" spans="1:17" ht="12" customHeight="1" x14ac:dyDescent="0.25">
      <c r="A18" s="678"/>
      <c r="B18" s="680"/>
      <c r="C18" s="680"/>
      <c r="D18" s="680"/>
      <c r="E18" s="680"/>
      <c r="F18" s="680"/>
      <c r="G18" s="680"/>
      <c r="H18" s="680"/>
      <c r="I18" s="680"/>
      <c r="J18" s="680"/>
      <c r="K18" s="680"/>
      <c r="L18" s="680"/>
      <c r="M18" s="680"/>
      <c r="N18" s="680"/>
      <c r="O18" s="680"/>
      <c r="P18" s="680"/>
      <c r="Q18" s="678"/>
    </row>
    <row r="19" spans="1:17" ht="19.5" customHeight="1" x14ac:dyDescent="0.25">
      <c r="A19" s="678"/>
      <c r="B19" s="1211" t="s">
        <v>1857</v>
      </c>
      <c r="C19" s="1211"/>
      <c r="D19" s="1211"/>
      <c r="E19" s="1211"/>
      <c r="F19" s="680"/>
      <c r="G19" s="680"/>
      <c r="H19" s="680"/>
      <c r="I19" s="680"/>
      <c r="J19" s="680"/>
      <c r="K19" s="680"/>
      <c r="L19" s="680"/>
      <c r="M19" s="680"/>
      <c r="N19" s="680"/>
      <c r="O19" s="680"/>
      <c r="P19" s="680"/>
      <c r="Q19" s="678"/>
    </row>
    <row r="20" spans="1:17" ht="7.5" customHeight="1" x14ac:dyDescent="0.25">
      <c r="A20" s="678"/>
      <c r="B20" s="680"/>
      <c r="C20" s="680"/>
      <c r="D20" s="680"/>
      <c r="E20" s="680"/>
      <c r="F20" s="680"/>
      <c r="G20" s="680"/>
      <c r="H20" s="680"/>
      <c r="I20" s="680"/>
      <c r="J20" s="680"/>
      <c r="K20" s="680"/>
      <c r="L20" s="680"/>
      <c r="M20" s="680"/>
      <c r="N20" s="680"/>
      <c r="O20" s="680"/>
      <c r="P20" s="680"/>
      <c r="Q20" s="678"/>
    </row>
    <row r="21" spans="1:17" ht="18" customHeight="1" x14ac:dyDescent="0.25">
      <c r="A21" s="678"/>
      <c r="B21" s="1218" t="s">
        <v>786</v>
      </c>
      <c r="C21" s="1219"/>
      <c r="D21" s="1219"/>
      <c r="E21" s="1219"/>
      <c r="F21" s="1219"/>
      <c r="G21" s="1219"/>
      <c r="H21" s="1219"/>
      <c r="I21" s="1219"/>
      <c r="J21" s="1219"/>
      <c r="K21" s="1219"/>
      <c r="L21" s="1219"/>
      <c r="M21" s="1219"/>
      <c r="N21" s="1219"/>
      <c r="O21" s="1219"/>
      <c r="P21" s="1219"/>
      <c r="Q21" s="678"/>
    </row>
    <row r="22" spans="1:17" ht="30" customHeight="1" x14ac:dyDescent="0.25">
      <c r="A22" s="678"/>
      <c r="B22" s="1225" t="s">
        <v>968</v>
      </c>
      <c r="C22" s="1225"/>
      <c r="D22" s="1225"/>
      <c r="E22" s="1225"/>
      <c r="F22" s="1225"/>
      <c r="G22" s="1225"/>
      <c r="H22" s="1225"/>
      <c r="I22" s="1225"/>
      <c r="J22" s="1225"/>
      <c r="K22" s="1225"/>
      <c r="L22" s="1225"/>
      <c r="M22" s="1225"/>
      <c r="N22" s="1225"/>
      <c r="O22" s="1225"/>
      <c r="P22" s="1225"/>
      <c r="Q22" s="678"/>
    </row>
    <row r="23" spans="1:17" ht="21" customHeight="1" x14ac:dyDescent="0.25">
      <c r="A23" s="678"/>
      <c r="B23" s="1223" t="s">
        <v>787</v>
      </c>
      <c r="C23" s="1223"/>
      <c r="D23" s="1223"/>
      <c r="E23" s="1223"/>
      <c r="F23" s="1223"/>
      <c r="G23" s="1223"/>
      <c r="H23" s="1223"/>
      <c r="I23" s="1223"/>
      <c r="J23" s="1223"/>
      <c r="K23" s="1223"/>
      <c r="L23" s="1223"/>
      <c r="M23" s="1223"/>
      <c r="N23" s="1223"/>
      <c r="O23" s="1223"/>
      <c r="P23" s="1223"/>
      <c r="Q23" s="678"/>
    </row>
    <row r="24" spans="1:17" ht="21" customHeight="1" x14ac:dyDescent="0.25">
      <c r="A24" s="678"/>
      <c r="B24" s="1223" t="s">
        <v>1080</v>
      </c>
      <c r="C24" s="1223"/>
      <c r="D24" s="1223"/>
      <c r="E24" s="1223"/>
      <c r="F24" s="1223"/>
      <c r="G24" s="1223"/>
      <c r="H24" s="1223"/>
      <c r="I24" s="1223"/>
      <c r="J24" s="1223"/>
      <c r="K24" s="1223"/>
      <c r="L24" s="1223"/>
      <c r="M24" s="1223"/>
      <c r="N24" s="1223"/>
      <c r="O24" s="1223"/>
      <c r="P24" s="1223"/>
      <c r="Q24" s="678"/>
    </row>
    <row r="25" spans="1:17" ht="21" customHeight="1" x14ac:dyDescent="0.25">
      <c r="A25" s="678"/>
      <c r="B25" s="1223" t="s">
        <v>952</v>
      </c>
      <c r="C25" s="1223"/>
      <c r="D25" s="1223"/>
      <c r="E25" s="1223"/>
      <c r="F25" s="1223"/>
      <c r="G25" s="1223"/>
      <c r="H25" s="1223"/>
      <c r="I25" s="1223"/>
      <c r="J25" s="1223"/>
      <c r="K25" s="1223"/>
      <c r="L25" s="1223"/>
      <c r="M25" s="1223"/>
      <c r="N25" s="1223"/>
      <c r="O25" s="1223"/>
      <c r="P25" s="1223"/>
      <c r="Q25" s="678"/>
    </row>
    <row r="26" spans="1:17" ht="21" customHeight="1" x14ac:dyDescent="0.25">
      <c r="A26" s="678"/>
      <c r="B26" s="1223" t="s">
        <v>953</v>
      </c>
      <c r="C26" s="1223"/>
      <c r="D26" s="1223"/>
      <c r="E26" s="1223"/>
      <c r="F26" s="1223"/>
      <c r="G26" s="1223"/>
      <c r="H26" s="1223"/>
      <c r="I26" s="1223"/>
      <c r="J26" s="1223"/>
      <c r="K26" s="1223"/>
      <c r="L26" s="1223"/>
      <c r="M26" s="1223"/>
      <c r="N26" s="1223"/>
      <c r="O26" s="1223"/>
      <c r="P26" s="1223"/>
      <c r="Q26" s="678"/>
    </row>
    <row r="27" spans="1:17" ht="30" customHeight="1" x14ac:dyDescent="0.25">
      <c r="A27" s="678"/>
      <c r="B27" s="1223" t="s">
        <v>2390</v>
      </c>
      <c r="C27" s="1223"/>
      <c r="D27" s="1223"/>
      <c r="E27" s="1223"/>
      <c r="F27" s="1223"/>
      <c r="G27" s="1223"/>
      <c r="H27" s="1223"/>
      <c r="I27" s="1223"/>
      <c r="J27" s="1223"/>
      <c r="K27" s="1223"/>
      <c r="L27" s="1223"/>
      <c r="M27" s="1223"/>
      <c r="N27" s="1223"/>
      <c r="O27" s="1223"/>
      <c r="P27" s="1223"/>
      <c r="Q27" s="678"/>
    </row>
    <row r="28" spans="1:17" ht="30" customHeight="1" x14ac:dyDescent="0.25">
      <c r="A28" s="678"/>
      <c r="B28" s="1223" t="s">
        <v>954</v>
      </c>
      <c r="C28" s="1223"/>
      <c r="D28" s="1223"/>
      <c r="E28" s="1223"/>
      <c r="F28" s="1223"/>
      <c r="G28" s="1223"/>
      <c r="H28" s="1223"/>
      <c r="I28" s="1223"/>
      <c r="J28" s="1223"/>
      <c r="K28" s="1223"/>
      <c r="L28" s="1223"/>
      <c r="M28" s="1223"/>
      <c r="N28" s="1223"/>
      <c r="O28" s="1223"/>
      <c r="P28" s="1223"/>
      <c r="Q28" s="678"/>
    </row>
    <row r="29" spans="1:17" ht="12" customHeight="1" x14ac:dyDescent="0.25">
      <c r="A29" s="678"/>
      <c r="B29" s="680"/>
      <c r="C29" s="680"/>
      <c r="D29" s="680"/>
      <c r="E29" s="680"/>
      <c r="F29" s="680"/>
      <c r="G29" s="680"/>
      <c r="H29" s="680"/>
      <c r="I29" s="680"/>
      <c r="J29" s="680"/>
      <c r="K29" s="680"/>
      <c r="L29" s="680"/>
      <c r="M29" s="680"/>
      <c r="N29" s="680"/>
      <c r="O29" s="680"/>
      <c r="P29" s="680"/>
      <c r="Q29" s="678"/>
    </row>
    <row r="30" spans="1:17" ht="19.5" customHeight="1" x14ac:dyDescent="0.25">
      <c r="A30" s="678"/>
      <c r="B30" s="1211" t="s">
        <v>1856</v>
      </c>
      <c r="C30" s="1211"/>
      <c r="D30" s="1211"/>
      <c r="E30" s="1211"/>
      <c r="F30" s="680"/>
      <c r="G30" s="680"/>
      <c r="H30" s="680"/>
      <c r="I30" s="680"/>
      <c r="J30" s="680"/>
      <c r="K30" s="680"/>
      <c r="L30" s="680"/>
      <c r="M30" s="680"/>
      <c r="N30" s="680"/>
      <c r="O30" s="680"/>
      <c r="P30" s="680"/>
      <c r="Q30" s="678"/>
    </row>
    <row r="31" spans="1:17" ht="7.5" customHeight="1" x14ac:dyDescent="0.25">
      <c r="A31" s="678"/>
      <c r="B31" s="682"/>
      <c r="C31" s="682"/>
      <c r="D31" s="682"/>
      <c r="E31" s="682"/>
      <c r="F31" s="680"/>
      <c r="G31" s="680"/>
      <c r="H31" s="680"/>
      <c r="I31" s="680"/>
      <c r="J31" s="680"/>
      <c r="K31" s="680"/>
      <c r="L31" s="680"/>
      <c r="M31" s="680"/>
      <c r="N31" s="680"/>
      <c r="O31" s="680"/>
      <c r="P31" s="680"/>
      <c r="Q31" s="678"/>
    </row>
    <row r="32" spans="1:17" ht="65.25" customHeight="1" x14ac:dyDescent="0.25">
      <c r="A32" s="678"/>
      <c r="B32" s="1218" t="s">
        <v>1207</v>
      </c>
      <c r="C32" s="1219"/>
      <c r="D32" s="1219"/>
      <c r="E32" s="1219"/>
      <c r="F32" s="1219"/>
      <c r="G32" s="1219"/>
      <c r="H32" s="1219"/>
      <c r="I32" s="1219"/>
      <c r="J32" s="1219"/>
      <c r="K32" s="1219"/>
      <c r="L32" s="1219"/>
      <c r="M32" s="1219"/>
      <c r="N32" s="1219"/>
      <c r="O32" s="1219"/>
      <c r="P32" s="1219"/>
      <c r="Q32" s="678"/>
    </row>
    <row r="33" spans="1:17" ht="9" customHeight="1" x14ac:dyDescent="0.25">
      <c r="A33" s="678"/>
      <c r="B33" s="684"/>
      <c r="C33" s="685"/>
      <c r="D33" s="685"/>
      <c r="E33" s="685"/>
      <c r="F33" s="685"/>
      <c r="G33" s="685"/>
      <c r="H33" s="685"/>
      <c r="I33" s="685"/>
      <c r="J33" s="685"/>
      <c r="K33" s="685"/>
      <c r="L33" s="685"/>
      <c r="M33" s="685"/>
      <c r="N33" s="685"/>
      <c r="O33" s="685"/>
      <c r="P33" s="685"/>
      <c r="Q33" s="678"/>
    </row>
    <row r="34" spans="1:17" ht="18.75" x14ac:dyDescent="0.25">
      <c r="A34" s="678"/>
      <c r="B34" s="1195" t="s">
        <v>240</v>
      </c>
      <c r="C34" s="682"/>
      <c r="D34" s="682"/>
      <c r="E34" s="682"/>
      <c r="F34" s="680"/>
      <c r="G34" s="680"/>
      <c r="H34" s="680"/>
      <c r="I34" s="680"/>
      <c r="J34" s="680"/>
      <c r="K34" s="680"/>
      <c r="L34" s="680"/>
      <c r="M34" s="680"/>
      <c r="N34" s="680"/>
      <c r="O34" s="680"/>
      <c r="P34" s="680"/>
      <c r="Q34" s="678"/>
    </row>
    <row r="35" spans="1:17" ht="48.75" customHeight="1" x14ac:dyDescent="0.25">
      <c r="A35" s="678"/>
      <c r="B35" s="1217" t="s">
        <v>955</v>
      </c>
      <c r="C35" s="1217"/>
      <c r="D35" s="1217"/>
      <c r="E35" s="1217"/>
      <c r="F35" s="1217"/>
      <c r="G35" s="1217"/>
      <c r="H35" s="1217"/>
      <c r="I35" s="1217"/>
      <c r="J35" s="1217"/>
      <c r="K35" s="1217"/>
      <c r="L35" s="1217"/>
      <c r="M35" s="1217"/>
      <c r="N35" s="1217"/>
      <c r="O35" s="1217"/>
      <c r="P35" s="1217"/>
      <c r="Q35" s="678"/>
    </row>
    <row r="36" spans="1:17" ht="9" customHeight="1" x14ac:dyDescent="0.25">
      <c r="A36" s="678"/>
      <c r="B36" s="685"/>
      <c r="C36" s="685"/>
      <c r="D36" s="685"/>
      <c r="E36" s="685"/>
      <c r="F36" s="685"/>
      <c r="G36" s="685"/>
      <c r="H36" s="685"/>
      <c r="I36" s="685"/>
      <c r="J36" s="685"/>
      <c r="K36" s="685"/>
      <c r="L36" s="685"/>
      <c r="M36" s="685"/>
      <c r="N36" s="685"/>
      <c r="O36" s="685"/>
      <c r="P36" s="685"/>
      <c r="Q36" s="678"/>
    </row>
    <row r="37" spans="1:17" ht="15" customHeight="1" x14ac:dyDescent="0.25">
      <c r="A37" s="678"/>
      <c r="B37" s="1195" t="s">
        <v>241</v>
      </c>
      <c r="C37" s="682"/>
      <c r="D37" s="682"/>
      <c r="E37" s="682"/>
      <c r="F37" s="680"/>
      <c r="G37" s="680"/>
      <c r="H37" s="680"/>
      <c r="I37" s="680"/>
      <c r="J37" s="680"/>
      <c r="K37" s="680"/>
      <c r="L37" s="680"/>
      <c r="M37" s="680"/>
      <c r="N37" s="680"/>
      <c r="O37" s="680"/>
      <c r="P37" s="680"/>
      <c r="Q37" s="678"/>
    </row>
    <row r="38" spans="1:17" ht="33" customHeight="1" x14ac:dyDescent="0.25">
      <c r="A38" s="678"/>
      <c r="B38" s="1217" t="s">
        <v>956</v>
      </c>
      <c r="C38" s="1217"/>
      <c r="D38" s="1217"/>
      <c r="E38" s="1217"/>
      <c r="F38" s="1217"/>
      <c r="G38" s="1217"/>
      <c r="H38" s="1217"/>
      <c r="I38" s="1217"/>
      <c r="J38" s="1217"/>
      <c r="K38" s="1217"/>
      <c r="L38" s="1217"/>
      <c r="M38" s="1217"/>
      <c r="N38" s="1217"/>
      <c r="O38" s="1217"/>
      <c r="P38" s="1217"/>
      <c r="Q38" s="678"/>
    </row>
    <row r="39" spans="1:17" ht="9" customHeight="1" x14ac:dyDescent="0.25">
      <c r="A39" s="678"/>
      <c r="B39" s="685"/>
      <c r="C39" s="685"/>
      <c r="D39" s="685"/>
      <c r="E39" s="685"/>
      <c r="F39" s="685"/>
      <c r="G39" s="685"/>
      <c r="H39" s="685"/>
      <c r="I39" s="685"/>
      <c r="J39" s="685"/>
      <c r="K39" s="685"/>
      <c r="L39" s="685"/>
      <c r="M39" s="685"/>
      <c r="N39" s="685"/>
      <c r="O39" s="685"/>
      <c r="P39" s="685"/>
      <c r="Q39" s="678"/>
    </row>
    <row r="40" spans="1:17" ht="15" customHeight="1" x14ac:dyDescent="0.25">
      <c r="A40" s="678"/>
      <c r="B40" s="1195" t="s">
        <v>242</v>
      </c>
      <c r="C40" s="682"/>
      <c r="D40" s="682"/>
      <c r="E40" s="682"/>
      <c r="F40" s="680"/>
      <c r="G40" s="680"/>
      <c r="H40" s="680"/>
      <c r="I40" s="680"/>
      <c r="J40" s="680"/>
      <c r="K40" s="680"/>
      <c r="L40" s="680"/>
      <c r="M40" s="680"/>
      <c r="N40" s="680"/>
      <c r="O40" s="680"/>
      <c r="P40" s="680"/>
      <c r="Q40" s="678"/>
    </row>
    <row r="41" spans="1:17" ht="43.5" customHeight="1" x14ac:dyDescent="0.25">
      <c r="A41" s="678"/>
      <c r="B41" s="1217" t="s">
        <v>1017</v>
      </c>
      <c r="C41" s="1217"/>
      <c r="D41" s="1217"/>
      <c r="E41" s="1217"/>
      <c r="F41" s="1217"/>
      <c r="G41" s="1217"/>
      <c r="H41" s="1217"/>
      <c r="I41" s="1217"/>
      <c r="J41" s="1217"/>
      <c r="K41" s="1217"/>
      <c r="L41" s="1217"/>
      <c r="M41" s="1217"/>
      <c r="N41" s="1217"/>
      <c r="O41" s="1217"/>
      <c r="P41" s="1217"/>
      <c r="Q41" s="678"/>
    </row>
    <row r="42" spans="1:17" ht="15" customHeight="1" x14ac:dyDescent="0.25">
      <c r="A42" s="678"/>
      <c r="B42" s="682"/>
      <c r="C42" s="682"/>
      <c r="D42" s="682"/>
      <c r="E42" s="682"/>
      <c r="F42" s="680"/>
      <c r="G42" s="680"/>
      <c r="H42" s="680"/>
      <c r="I42" s="680"/>
      <c r="J42" s="680"/>
      <c r="K42" s="680"/>
      <c r="L42" s="680"/>
      <c r="M42" s="680"/>
      <c r="N42" s="680"/>
      <c r="O42" s="680"/>
      <c r="P42" s="680"/>
      <c r="Q42" s="678"/>
    </row>
    <row r="43" spans="1:17" ht="19.5" customHeight="1" x14ac:dyDescent="0.25">
      <c r="A43" s="678"/>
      <c r="B43" s="1224" t="s">
        <v>1855</v>
      </c>
      <c r="C43" s="1224"/>
      <c r="D43" s="1224"/>
      <c r="E43" s="1224"/>
      <c r="F43" s="680"/>
      <c r="G43" s="680"/>
      <c r="H43" s="680"/>
      <c r="I43" s="680"/>
      <c r="J43" s="680"/>
      <c r="K43" s="680"/>
      <c r="L43" s="680"/>
      <c r="M43" s="680"/>
      <c r="N43" s="680"/>
      <c r="O43" s="680"/>
      <c r="P43" s="680"/>
      <c r="Q43" s="678"/>
    </row>
    <row r="44" spans="1:17" ht="7.5" customHeight="1" x14ac:dyDescent="0.25">
      <c r="A44" s="678"/>
      <c r="B44" s="680"/>
      <c r="C44" s="680"/>
      <c r="D44" s="680"/>
      <c r="E44" s="680"/>
      <c r="F44" s="680"/>
      <c r="G44" s="680"/>
      <c r="H44" s="680"/>
      <c r="I44" s="680"/>
      <c r="J44" s="680"/>
      <c r="K44" s="680"/>
      <c r="L44" s="680"/>
      <c r="M44" s="680"/>
      <c r="N44" s="680"/>
      <c r="O44" s="680"/>
      <c r="P44" s="680"/>
      <c r="Q44" s="678"/>
    </row>
    <row r="45" spans="1:17" ht="16.5" customHeight="1" x14ac:dyDescent="0.25">
      <c r="A45" s="678"/>
      <c r="B45" s="1226" t="s">
        <v>1014</v>
      </c>
      <c r="C45" s="1226"/>
      <c r="D45" s="1226"/>
      <c r="E45" s="1226"/>
      <c r="F45" s="1226"/>
      <c r="G45" s="1226"/>
      <c r="H45" s="1226"/>
      <c r="I45" s="1226"/>
      <c r="J45" s="1226"/>
      <c r="K45" s="1226"/>
      <c r="L45" s="1226"/>
      <c r="M45" s="1226"/>
      <c r="N45" s="1226"/>
      <c r="O45" s="1226"/>
      <c r="P45" s="1226"/>
      <c r="Q45" s="678"/>
    </row>
    <row r="46" spans="1:17" ht="30.75" customHeight="1" x14ac:dyDescent="0.25">
      <c r="A46" s="678"/>
      <c r="B46" s="1226" t="s">
        <v>1015</v>
      </c>
      <c r="C46" s="1226"/>
      <c r="D46" s="1226"/>
      <c r="E46" s="1226"/>
      <c r="F46" s="1226"/>
      <c r="G46" s="1226"/>
      <c r="H46" s="1226"/>
      <c r="I46" s="1226"/>
      <c r="J46" s="1226"/>
      <c r="K46" s="1226"/>
      <c r="L46" s="1226"/>
      <c r="M46" s="1226"/>
      <c r="N46" s="1226"/>
      <c r="O46" s="1226"/>
      <c r="P46" s="1226"/>
      <c r="Q46" s="678"/>
    </row>
    <row r="47" spans="1:17" ht="13.5" customHeight="1" x14ac:dyDescent="0.25">
      <c r="A47" s="678"/>
      <c r="B47" s="680"/>
      <c r="C47" s="680"/>
      <c r="D47" s="680"/>
      <c r="E47" s="680"/>
      <c r="F47" s="680"/>
      <c r="G47" s="680"/>
      <c r="H47" s="680"/>
      <c r="I47" s="680"/>
      <c r="J47" s="680"/>
      <c r="K47" s="680"/>
      <c r="L47" s="680"/>
      <c r="M47" s="680"/>
      <c r="N47" s="680"/>
      <c r="O47" s="680"/>
      <c r="P47" s="680"/>
      <c r="Q47" s="678"/>
    </row>
    <row r="48" spans="1:17" ht="15" customHeight="1" x14ac:dyDescent="0.25">
      <c r="A48" s="678"/>
      <c r="B48" s="680"/>
      <c r="C48" s="680"/>
      <c r="D48" s="680"/>
      <c r="E48" s="680"/>
      <c r="F48" s="680"/>
      <c r="G48" s="680"/>
      <c r="H48" s="680"/>
      <c r="I48" s="680"/>
      <c r="J48" s="680"/>
      <c r="K48" s="680"/>
      <c r="L48" s="680"/>
      <c r="M48" s="680"/>
      <c r="N48" s="680"/>
      <c r="O48" s="680"/>
      <c r="P48" s="680"/>
      <c r="Q48" s="678"/>
    </row>
    <row r="49" spans="1:17" ht="15" customHeight="1" x14ac:dyDescent="0.25">
      <c r="A49" s="678"/>
      <c r="B49" s="680"/>
      <c r="C49" s="680"/>
      <c r="D49" s="680"/>
      <c r="E49" s="680"/>
      <c r="F49" s="680"/>
      <c r="G49" s="680"/>
      <c r="H49" s="680"/>
      <c r="I49" s="680"/>
      <c r="J49" s="680"/>
      <c r="K49" s="680"/>
      <c r="L49" s="680"/>
      <c r="M49" s="680"/>
      <c r="N49" s="680"/>
      <c r="O49" s="680"/>
      <c r="P49" s="680"/>
      <c r="Q49" s="678"/>
    </row>
    <row r="50" spans="1:17" ht="11.25" customHeight="1" x14ac:dyDescent="0.25">
      <c r="A50" s="678"/>
      <c r="B50" s="680"/>
      <c r="C50" s="680"/>
      <c r="D50" s="680"/>
      <c r="E50" s="680"/>
      <c r="F50" s="680"/>
      <c r="G50" s="680"/>
      <c r="H50" s="680"/>
      <c r="I50" s="680"/>
      <c r="J50" s="680"/>
      <c r="K50" s="680"/>
      <c r="L50" s="680"/>
      <c r="M50" s="680"/>
      <c r="N50" s="680"/>
      <c r="O50" s="680"/>
      <c r="P50" s="680"/>
      <c r="Q50" s="678"/>
    </row>
    <row r="51" spans="1:17" ht="15" customHeight="1" x14ac:dyDescent="0.25">
      <c r="A51" s="678"/>
      <c r="B51" s="683" t="s">
        <v>1016</v>
      </c>
      <c r="C51" s="680"/>
      <c r="D51" s="680"/>
      <c r="E51" s="680"/>
      <c r="F51" s="680"/>
      <c r="G51" s="680"/>
      <c r="H51" s="680"/>
      <c r="I51" s="680"/>
      <c r="J51" s="680"/>
      <c r="K51" s="680"/>
      <c r="L51" s="680"/>
      <c r="M51" s="680"/>
      <c r="N51" s="680"/>
      <c r="O51" s="680"/>
      <c r="P51" s="680"/>
      <c r="Q51" s="678"/>
    </row>
    <row r="52" spans="1:17" ht="15" customHeight="1" x14ac:dyDescent="0.25">
      <c r="A52" s="678"/>
      <c r="B52" s="680"/>
      <c r="C52" s="680"/>
      <c r="D52" s="680"/>
      <c r="E52" s="680"/>
      <c r="F52" s="680"/>
      <c r="G52" s="680"/>
      <c r="H52" s="680"/>
      <c r="I52" s="680"/>
      <c r="J52" s="680"/>
      <c r="K52" s="680"/>
      <c r="L52" s="680"/>
      <c r="M52" s="680"/>
      <c r="N52" s="680"/>
      <c r="O52" s="680"/>
      <c r="P52" s="680"/>
      <c r="Q52" s="678"/>
    </row>
    <row r="53" spans="1:17" ht="15" customHeight="1" x14ac:dyDescent="0.25">
      <c r="A53" s="678"/>
      <c r="B53" s="680"/>
      <c r="C53" s="680"/>
      <c r="D53" s="680"/>
      <c r="E53" s="680"/>
      <c r="F53" s="680"/>
      <c r="G53" s="680"/>
      <c r="H53" s="680"/>
      <c r="I53" s="680"/>
      <c r="J53" s="680"/>
      <c r="K53" s="680"/>
      <c r="L53" s="680"/>
      <c r="M53" s="680"/>
      <c r="N53" s="680"/>
      <c r="O53" s="680"/>
      <c r="P53" s="680"/>
      <c r="Q53" s="678"/>
    </row>
    <row r="54" spans="1:17" ht="15" customHeight="1" x14ac:dyDescent="0.25">
      <c r="A54" s="678"/>
      <c r="B54" s="680"/>
      <c r="C54" s="680"/>
      <c r="D54" s="680"/>
      <c r="E54" s="680"/>
      <c r="F54" s="680"/>
      <c r="G54" s="680"/>
      <c r="H54" s="680"/>
      <c r="I54" s="680"/>
      <c r="J54" s="680"/>
      <c r="K54" s="680"/>
      <c r="L54" s="680"/>
      <c r="M54" s="680"/>
      <c r="N54" s="680"/>
      <c r="O54" s="680"/>
      <c r="P54" s="680"/>
      <c r="Q54" s="678"/>
    </row>
    <row r="55" spans="1:17" ht="12" customHeight="1" x14ac:dyDescent="0.25">
      <c r="A55" s="678"/>
      <c r="B55" s="680"/>
      <c r="C55" s="680"/>
      <c r="D55" s="680"/>
      <c r="E55" s="680"/>
      <c r="F55" s="680"/>
      <c r="G55" s="680"/>
      <c r="H55" s="680"/>
      <c r="I55" s="680"/>
      <c r="J55" s="680"/>
      <c r="K55" s="680"/>
      <c r="L55" s="680"/>
      <c r="M55" s="680"/>
      <c r="N55" s="680"/>
      <c r="O55" s="680"/>
      <c r="P55" s="680"/>
      <c r="Q55" s="678"/>
    </row>
    <row r="56" spans="1:17" ht="19.5" customHeight="1" x14ac:dyDescent="0.25">
      <c r="A56" s="678"/>
      <c r="B56" s="1224" t="s">
        <v>1854</v>
      </c>
      <c r="C56" s="1224"/>
      <c r="D56" s="1224"/>
      <c r="E56" s="1224"/>
      <c r="F56" s="680"/>
      <c r="G56" s="680"/>
      <c r="H56" s="680"/>
      <c r="I56" s="680"/>
      <c r="J56" s="680"/>
      <c r="K56" s="680"/>
      <c r="L56" s="680"/>
      <c r="M56" s="680"/>
      <c r="N56" s="680"/>
      <c r="O56" s="680"/>
      <c r="P56" s="680"/>
      <c r="Q56" s="678"/>
    </row>
    <row r="57" spans="1:17" ht="12" customHeight="1" x14ac:dyDescent="0.25">
      <c r="A57" s="678"/>
      <c r="B57" s="680"/>
      <c r="C57" s="680"/>
      <c r="D57" s="680"/>
      <c r="E57" s="680"/>
      <c r="F57" s="680"/>
      <c r="G57" s="680"/>
      <c r="H57" s="680"/>
      <c r="I57" s="680"/>
      <c r="J57" s="680"/>
      <c r="K57" s="680"/>
      <c r="L57" s="680"/>
      <c r="M57" s="680"/>
      <c r="N57" s="680"/>
      <c r="O57" s="680"/>
      <c r="P57" s="680"/>
      <c r="Q57" s="678"/>
    </row>
    <row r="58" spans="1:17" x14ac:dyDescent="0.25">
      <c r="A58" s="678"/>
      <c r="B58" s="902" t="s">
        <v>1923</v>
      </c>
      <c r="C58" s="903"/>
      <c r="D58" s="903"/>
      <c r="E58" s="903"/>
      <c r="F58" s="903"/>
      <c r="G58" s="903"/>
      <c r="H58" s="903"/>
      <c r="I58" s="903"/>
      <c r="J58" s="903"/>
      <c r="K58" s="903"/>
      <c r="L58" s="903"/>
      <c r="M58" s="903"/>
      <c r="N58" s="903"/>
      <c r="O58" s="903"/>
      <c r="P58" s="903"/>
      <c r="Q58" s="678"/>
    </row>
    <row r="59" spans="1:17" ht="12" customHeight="1" x14ac:dyDescent="0.25">
      <c r="A59" s="678"/>
      <c r="B59" s="903"/>
      <c r="C59" s="903"/>
      <c r="D59" s="903"/>
      <c r="E59" s="903"/>
      <c r="F59" s="903"/>
      <c r="G59" s="903"/>
      <c r="H59" s="903"/>
      <c r="I59" s="903"/>
      <c r="J59" s="903"/>
      <c r="K59" s="903"/>
      <c r="L59" s="903"/>
      <c r="M59" s="903"/>
      <c r="N59" s="903"/>
      <c r="O59" s="903"/>
      <c r="P59" s="903"/>
      <c r="Q59" s="678"/>
    </row>
    <row r="60" spans="1:17" ht="12" customHeight="1" x14ac:dyDescent="0.25">
      <c r="A60" s="678"/>
      <c r="B60" s="680"/>
      <c r="C60" s="680"/>
      <c r="D60" s="680"/>
      <c r="E60" s="680"/>
      <c r="F60" s="680"/>
      <c r="G60" s="680"/>
      <c r="H60" s="680"/>
      <c r="I60" s="680"/>
      <c r="J60" s="680"/>
      <c r="K60" s="680"/>
      <c r="L60" s="680"/>
      <c r="M60" s="680"/>
      <c r="N60" s="680"/>
      <c r="O60" s="680"/>
      <c r="P60" s="680"/>
      <c r="Q60" s="678"/>
    </row>
    <row r="61" spans="1:17" ht="12" customHeight="1" x14ac:dyDescent="0.25">
      <c r="A61" s="678"/>
      <c r="B61" s="680"/>
      <c r="C61" s="680"/>
      <c r="D61" s="680"/>
      <c r="E61" s="680"/>
      <c r="F61" s="680"/>
      <c r="G61" s="680"/>
      <c r="H61" s="680"/>
      <c r="I61" s="680"/>
      <c r="J61" s="680"/>
      <c r="K61" s="680"/>
      <c r="L61" s="680"/>
      <c r="M61" s="680"/>
      <c r="N61" s="680"/>
      <c r="O61" s="680"/>
      <c r="P61" s="680"/>
      <c r="Q61" s="678"/>
    </row>
    <row r="62" spans="1:17" ht="12" customHeight="1" x14ac:dyDescent="0.25">
      <c r="A62" s="678"/>
      <c r="B62" s="680"/>
      <c r="C62" s="680"/>
      <c r="D62" s="680"/>
      <c r="E62" s="680"/>
      <c r="F62" s="680"/>
      <c r="G62" s="680"/>
      <c r="H62" s="680"/>
      <c r="I62" s="680"/>
      <c r="J62" s="680"/>
      <c r="K62" s="680"/>
      <c r="L62" s="680"/>
      <c r="M62" s="680"/>
      <c r="N62" s="680"/>
      <c r="O62" s="680"/>
      <c r="P62" s="680"/>
      <c r="Q62" s="678"/>
    </row>
    <row r="63" spans="1:17" ht="12" customHeight="1" x14ac:dyDescent="0.25">
      <c r="A63" s="678"/>
      <c r="B63" s="680"/>
      <c r="C63" s="680"/>
      <c r="D63" s="680"/>
      <c r="E63" s="680"/>
      <c r="F63" s="680"/>
      <c r="G63" s="680"/>
      <c r="H63" s="680"/>
      <c r="I63" s="680"/>
      <c r="J63" s="680"/>
      <c r="K63" s="680"/>
      <c r="L63" s="680"/>
      <c r="M63" s="680"/>
      <c r="N63" s="680"/>
      <c r="O63" s="680"/>
      <c r="P63" s="680"/>
      <c r="Q63" s="678"/>
    </row>
    <row r="64" spans="1:17" ht="12" customHeight="1" x14ac:dyDescent="0.25">
      <c r="A64" s="678"/>
      <c r="B64" s="680"/>
      <c r="C64" s="680"/>
      <c r="D64" s="680"/>
      <c r="E64" s="680"/>
      <c r="F64" s="680"/>
      <c r="G64" s="680"/>
      <c r="H64" s="680"/>
      <c r="I64" s="680"/>
      <c r="J64" s="680"/>
      <c r="K64" s="680"/>
      <c r="L64" s="680"/>
      <c r="M64" s="680"/>
      <c r="N64" s="680"/>
      <c r="O64" s="680"/>
      <c r="P64" s="680"/>
      <c r="Q64" s="678"/>
    </row>
    <row r="65" spans="1:17" ht="12" customHeight="1" x14ac:dyDescent="0.25">
      <c r="A65" s="678"/>
      <c r="B65" s="680"/>
      <c r="C65" s="680"/>
      <c r="D65" s="680"/>
      <c r="E65" s="680"/>
      <c r="F65" s="680"/>
      <c r="G65" s="680"/>
      <c r="H65" s="680"/>
      <c r="I65" s="680"/>
      <c r="J65" s="680"/>
      <c r="K65" s="680"/>
      <c r="L65" s="680"/>
      <c r="M65" s="680"/>
      <c r="N65" s="680"/>
      <c r="O65" s="680"/>
      <c r="P65" s="680"/>
      <c r="Q65" s="678"/>
    </row>
    <row r="66" spans="1:17" ht="12" customHeight="1" x14ac:dyDescent="0.25">
      <c r="A66" s="678"/>
      <c r="B66" s="680"/>
      <c r="C66" s="680"/>
      <c r="D66" s="680"/>
      <c r="E66" s="680"/>
      <c r="F66" s="680"/>
      <c r="G66" s="680"/>
      <c r="H66" s="680"/>
      <c r="I66" s="680"/>
      <c r="J66" s="680"/>
      <c r="K66" s="680"/>
      <c r="L66" s="680"/>
      <c r="M66" s="680"/>
      <c r="N66" s="680"/>
      <c r="O66" s="680"/>
      <c r="P66" s="680"/>
      <c r="Q66" s="678"/>
    </row>
    <row r="67" spans="1:17" ht="12" customHeight="1" x14ac:dyDescent="0.25">
      <c r="A67" s="678"/>
      <c r="B67" s="680"/>
      <c r="C67" s="680"/>
      <c r="D67" s="680"/>
      <c r="E67" s="680"/>
      <c r="F67" s="680"/>
      <c r="G67" s="680"/>
      <c r="H67" s="680"/>
      <c r="I67" s="680"/>
      <c r="J67" s="680"/>
      <c r="K67" s="680"/>
      <c r="L67" s="680"/>
      <c r="M67" s="680"/>
      <c r="N67" s="680"/>
      <c r="O67" s="680"/>
      <c r="P67" s="680"/>
      <c r="Q67" s="678"/>
    </row>
    <row r="68" spans="1:17" ht="12" customHeight="1" x14ac:dyDescent="0.25">
      <c r="A68" s="678"/>
      <c r="B68" s="680"/>
      <c r="C68" s="680"/>
      <c r="D68" s="680"/>
      <c r="E68" s="680"/>
      <c r="F68" s="680"/>
      <c r="G68" s="680"/>
      <c r="H68" s="680"/>
      <c r="I68" s="680"/>
      <c r="J68" s="680"/>
      <c r="K68" s="680"/>
      <c r="L68" s="680"/>
      <c r="M68" s="680"/>
      <c r="N68" s="680"/>
      <c r="O68" s="680"/>
      <c r="P68" s="680"/>
      <c r="Q68" s="678"/>
    </row>
    <row r="69" spans="1:17" ht="12" customHeight="1" x14ac:dyDescent="0.25">
      <c r="A69" s="678"/>
      <c r="B69" s="680"/>
      <c r="C69" s="680"/>
      <c r="D69" s="680"/>
      <c r="E69" s="680"/>
      <c r="F69" s="680"/>
      <c r="G69" s="680"/>
      <c r="H69" s="680"/>
      <c r="I69" s="680"/>
      <c r="J69" s="680"/>
      <c r="K69" s="680"/>
      <c r="L69" s="680"/>
      <c r="M69" s="680"/>
      <c r="N69" s="680"/>
      <c r="O69" s="680"/>
      <c r="P69" s="680"/>
      <c r="Q69" s="678"/>
    </row>
    <row r="70" spans="1:17" ht="12" customHeight="1" x14ac:dyDescent="0.25">
      <c r="A70" s="678"/>
      <c r="B70" s="680"/>
      <c r="C70" s="680"/>
      <c r="D70" s="680"/>
      <c r="E70" s="680"/>
      <c r="F70" s="680"/>
      <c r="G70" s="680"/>
      <c r="H70" s="680"/>
      <c r="I70" s="680"/>
      <c r="J70" s="680"/>
      <c r="K70" s="680"/>
      <c r="L70" s="680"/>
      <c r="M70" s="680"/>
      <c r="N70" s="680"/>
      <c r="O70" s="680"/>
      <c r="P70" s="680"/>
      <c r="Q70" s="678"/>
    </row>
    <row r="71" spans="1:17" ht="12" customHeight="1" x14ac:dyDescent="0.25">
      <c r="A71" s="678"/>
      <c r="B71" s="680"/>
      <c r="C71" s="680"/>
      <c r="D71" s="680"/>
      <c r="E71" s="680"/>
      <c r="F71" s="680"/>
      <c r="G71" s="680"/>
      <c r="H71" s="680"/>
      <c r="I71" s="680"/>
      <c r="J71" s="680"/>
      <c r="K71" s="680"/>
      <c r="L71" s="680"/>
      <c r="M71" s="680"/>
      <c r="N71" s="680"/>
      <c r="O71" s="680"/>
      <c r="P71" s="680"/>
      <c r="Q71" s="678"/>
    </row>
    <row r="72" spans="1:17" ht="12" customHeight="1" x14ac:dyDescent="0.25">
      <c r="A72" s="678"/>
      <c r="B72" s="680"/>
      <c r="C72" s="680"/>
      <c r="D72" s="680"/>
      <c r="E72" s="680"/>
      <c r="F72" s="680"/>
      <c r="G72" s="680"/>
      <c r="H72" s="680"/>
      <c r="I72" s="680"/>
      <c r="J72" s="680"/>
      <c r="K72" s="680"/>
      <c r="L72" s="680"/>
      <c r="M72" s="680"/>
      <c r="N72" s="680"/>
      <c r="O72" s="680"/>
      <c r="P72" s="680"/>
      <c r="Q72" s="678"/>
    </row>
    <row r="73" spans="1:17" ht="12" customHeight="1" x14ac:dyDescent="0.25">
      <c r="A73" s="678"/>
      <c r="B73" s="680"/>
      <c r="C73" s="680"/>
      <c r="D73" s="680"/>
      <c r="E73" s="680"/>
      <c r="F73" s="680"/>
      <c r="G73" s="680"/>
      <c r="H73" s="680"/>
      <c r="I73" s="680"/>
      <c r="J73" s="680"/>
      <c r="K73" s="680"/>
      <c r="L73" s="680"/>
      <c r="M73" s="680"/>
      <c r="N73" s="680"/>
      <c r="O73" s="680"/>
      <c r="P73" s="680"/>
      <c r="Q73" s="678"/>
    </row>
    <row r="74" spans="1:17" ht="12" customHeight="1" x14ac:dyDescent="0.25">
      <c r="A74" s="678"/>
      <c r="B74" s="680"/>
      <c r="C74" s="680"/>
      <c r="D74" s="680"/>
      <c r="E74" s="680"/>
      <c r="F74" s="680"/>
      <c r="G74" s="680"/>
      <c r="H74" s="680"/>
      <c r="I74" s="680"/>
      <c r="J74" s="680"/>
      <c r="K74" s="680"/>
      <c r="L74" s="680"/>
      <c r="M74" s="680"/>
      <c r="N74" s="680"/>
      <c r="O74" s="680"/>
      <c r="P74" s="680"/>
      <c r="Q74" s="678"/>
    </row>
    <row r="75" spans="1:17" ht="12" customHeight="1" x14ac:dyDescent="0.25">
      <c r="A75" s="678"/>
      <c r="B75" s="680"/>
      <c r="C75" s="680"/>
      <c r="D75" s="680"/>
      <c r="E75" s="680"/>
      <c r="F75" s="680"/>
      <c r="G75" s="680"/>
      <c r="H75" s="680"/>
      <c r="I75" s="680"/>
      <c r="J75" s="680"/>
      <c r="K75" s="680"/>
      <c r="L75" s="680"/>
      <c r="M75" s="680"/>
      <c r="N75" s="680"/>
      <c r="O75" s="680"/>
      <c r="P75" s="680"/>
      <c r="Q75" s="678"/>
    </row>
    <row r="76" spans="1:17" ht="15.75" customHeight="1" x14ac:dyDescent="0.25">
      <c r="A76" s="678"/>
      <c r="B76" s="933" t="s">
        <v>1738</v>
      </c>
      <c r="C76" s="903"/>
      <c r="D76" s="903"/>
      <c r="E76" s="903"/>
      <c r="F76" s="903"/>
      <c r="G76" s="903"/>
      <c r="H76" s="903"/>
      <c r="I76" s="903"/>
      <c r="J76" s="903"/>
      <c r="K76" s="903"/>
      <c r="L76" s="903"/>
      <c r="M76" s="903"/>
      <c r="N76" s="903"/>
      <c r="O76" s="903"/>
      <c r="P76" s="903"/>
      <c r="Q76" s="678"/>
    </row>
    <row r="77" spans="1:17" ht="30" customHeight="1" x14ac:dyDescent="0.25">
      <c r="A77" s="678"/>
      <c r="B77" s="1221" t="s">
        <v>2161</v>
      </c>
      <c r="C77" s="1221"/>
      <c r="D77" s="1221"/>
      <c r="E77" s="1221"/>
      <c r="F77" s="1221"/>
      <c r="G77" s="1221"/>
      <c r="H77" s="1221"/>
      <c r="I77" s="1221"/>
      <c r="J77" s="1221"/>
      <c r="K77" s="1221"/>
      <c r="L77" s="1221"/>
      <c r="M77" s="1221"/>
      <c r="N77" s="1221"/>
      <c r="O77" s="1221"/>
      <c r="P77" s="903"/>
      <c r="Q77" s="678"/>
    </row>
    <row r="78" spans="1:17" ht="30" customHeight="1" x14ac:dyDescent="0.25">
      <c r="A78" s="678"/>
      <c r="B78" s="1221" t="s">
        <v>2162</v>
      </c>
      <c r="C78" s="1221"/>
      <c r="D78" s="1221"/>
      <c r="E78" s="1221"/>
      <c r="F78" s="1221"/>
      <c r="G78" s="1221"/>
      <c r="H78" s="1221"/>
      <c r="I78" s="1221"/>
      <c r="J78" s="1221"/>
      <c r="K78" s="1221"/>
      <c r="L78" s="1221"/>
      <c r="M78" s="1221"/>
      <c r="N78" s="1221"/>
      <c r="O78" s="1221"/>
      <c r="P78" s="903"/>
      <c r="Q78" s="678"/>
    </row>
    <row r="79" spans="1:17" ht="6" customHeight="1" x14ac:dyDescent="0.25">
      <c r="A79" s="678"/>
      <c r="B79" s="901"/>
      <c r="C79" s="901"/>
      <c r="D79" s="901"/>
      <c r="E79" s="901"/>
      <c r="F79" s="901"/>
      <c r="G79" s="901"/>
      <c r="H79" s="901"/>
      <c r="I79" s="901"/>
      <c r="J79" s="901"/>
      <c r="K79" s="901"/>
      <c r="L79" s="901"/>
      <c r="M79" s="901"/>
      <c r="N79" s="901"/>
      <c r="O79" s="901"/>
      <c r="P79" s="903"/>
      <c r="Q79" s="678"/>
    </row>
    <row r="80" spans="1:17" ht="30" customHeight="1" x14ac:dyDescent="0.25">
      <c r="A80" s="678"/>
      <c r="B80" s="1221" t="s">
        <v>2160</v>
      </c>
      <c r="C80" s="1221"/>
      <c r="D80" s="1221"/>
      <c r="E80" s="1221"/>
      <c r="F80" s="1221"/>
      <c r="G80" s="1221"/>
      <c r="H80" s="1221"/>
      <c r="I80" s="1221"/>
      <c r="J80" s="1221"/>
      <c r="K80" s="1221"/>
      <c r="L80" s="1221"/>
      <c r="M80" s="1221"/>
      <c r="N80" s="1221"/>
      <c r="O80" s="1221"/>
      <c r="P80" s="903"/>
      <c r="Q80" s="678"/>
    </row>
    <row r="81" spans="1:17" ht="45" customHeight="1" x14ac:dyDescent="0.25">
      <c r="A81" s="678"/>
      <c r="B81" s="1221" t="s">
        <v>2163</v>
      </c>
      <c r="C81" s="1221"/>
      <c r="D81" s="1221"/>
      <c r="E81" s="1221"/>
      <c r="F81" s="1221"/>
      <c r="G81" s="1221"/>
      <c r="H81" s="1221"/>
      <c r="I81" s="1221"/>
      <c r="J81" s="1221"/>
      <c r="K81" s="1221"/>
      <c r="L81" s="1221"/>
      <c r="M81" s="1221"/>
      <c r="N81" s="1221"/>
      <c r="O81" s="1221"/>
      <c r="P81" s="903"/>
      <c r="Q81" s="678"/>
    </row>
    <row r="82" spans="1:17" x14ac:dyDescent="0.25">
      <c r="A82" s="678"/>
      <c r="B82" s="903"/>
      <c r="C82" s="903"/>
      <c r="D82" s="903"/>
      <c r="E82" s="903"/>
      <c r="F82" s="903"/>
      <c r="G82" s="903"/>
      <c r="H82" s="903"/>
      <c r="I82" s="903"/>
      <c r="J82" s="903"/>
      <c r="K82" s="903"/>
      <c r="L82" s="903"/>
      <c r="M82" s="903"/>
      <c r="N82" s="903"/>
      <c r="O82" s="903"/>
      <c r="P82" s="903"/>
      <c r="Q82" s="678"/>
    </row>
    <row r="83" spans="1:17" ht="15.75" customHeight="1" x14ac:dyDescent="0.25">
      <c r="A83" s="678"/>
      <c r="B83" s="933" t="s">
        <v>558</v>
      </c>
      <c r="C83" s="903"/>
      <c r="D83" s="903"/>
      <c r="E83" s="903"/>
      <c r="F83" s="903"/>
      <c r="G83" s="903"/>
      <c r="H83" s="903"/>
      <c r="I83" s="903"/>
      <c r="J83" s="903"/>
      <c r="K83" s="903"/>
      <c r="L83" s="903"/>
      <c r="M83" s="903"/>
      <c r="N83" s="903"/>
      <c r="O83" s="903"/>
      <c r="P83" s="903"/>
      <c r="Q83" s="678"/>
    </row>
    <row r="84" spans="1:17" x14ac:dyDescent="0.25">
      <c r="A84" s="678"/>
      <c r="B84" s="689" t="s">
        <v>1140</v>
      </c>
      <c r="C84" s="903"/>
      <c r="D84" s="903"/>
      <c r="E84" s="903"/>
      <c r="F84" s="903"/>
      <c r="G84" s="903"/>
      <c r="H84" s="903"/>
      <c r="I84" s="903"/>
      <c r="J84" s="903"/>
      <c r="K84" s="903"/>
      <c r="L84" s="903"/>
      <c r="M84" s="903"/>
      <c r="N84" s="903"/>
      <c r="O84" s="903"/>
      <c r="P84" s="903"/>
      <c r="Q84" s="678"/>
    </row>
    <row r="85" spans="1:17" x14ac:dyDescent="0.25">
      <c r="A85" s="678"/>
      <c r="B85" s="997" t="s">
        <v>1925</v>
      </c>
      <c r="C85" s="996"/>
      <c r="D85" s="996"/>
      <c r="E85" s="996"/>
      <c r="F85" s="996"/>
      <c r="G85" s="996"/>
      <c r="H85" s="996"/>
      <c r="I85" s="996"/>
      <c r="J85" s="996"/>
      <c r="K85" s="996"/>
      <c r="L85" s="996"/>
      <c r="M85" s="996"/>
      <c r="N85" s="996"/>
      <c r="O85" s="996"/>
      <c r="P85" s="996"/>
      <c r="Q85" s="678"/>
    </row>
    <row r="86" spans="1:17" x14ac:dyDescent="0.25">
      <c r="A86" s="678"/>
      <c r="B86" s="997" t="s">
        <v>1924</v>
      </c>
      <c r="C86" s="903"/>
      <c r="D86" s="903"/>
      <c r="E86" s="903"/>
      <c r="F86" s="903"/>
      <c r="G86" s="903"/>
      <c r="H86" s="903"/>
      <c r="I86" s="903"/>
      <c r="J86" s="903"/>
      <c r="K86" s="903"/>
      <c r="L86" s="903"/>
      <c r="M86" s="903"/>
      <c r="N86" s="903"/>
      <c r="O86" s="903"/>
      <c r="P86" s="903"/>
      <c r="Q86" s="678"/>
    </row>
    <row r="87" spans="1:17" x14ac:dyDescent="0.25">
      <c r="A87" s="678"/>
      <c r="B87" s="997" t="s">
        <v>1927</v>
      </c>
      <c r="C87" s="996"/>
      <c r="D87" s="996"/>
      <c r="E87" s="996"/>
      <c r="F87" s="996"/>
      <c r="G87" s="996"/>
      <c r="H87" s="996"/>
      <c r="I87" s="996"/>
      <c r="J87" s="996"/>
      <c r="K87" s="996"/>
      <c r="L87" s="996"/>
      <c r="M87" s="996"/>
      <c r="N87" s="996"/>
      <c r="O87" s="996"/>
      <c r="P87" s="996"/>
      <c r="Q87" s="678"/>
    </row>
    <row r="88" spans="1:17" x14ac:dyDescent="0.25">
      <c r="A88" s="678"/>
      <c r="B88" s="689" t="s">
        <v>1793</v>
      </c>
      <c r="C88" s="903"/>
      <c r="D88" s="903"/>
      <c r="E88" s="903"/>
      <c r="F88" s="903"/>
      <c r="G88" s="903"/>
      <c r="H88" s="903"/>
      <c r="I88" s="903"/>
      <c r="J88" s="903"/>
      <c r="K88" s="903"/>
      <c r="L88" s="903"/>
      <c r="M88" s="903"/>
      <c r="N88" s="903"/>
      <c r="O88" s="903"/>
      <c r="P88" s="903"/>
      <c r="Q88" s="678"/>
    </row>
    <row r="89" spans="1:17" x14ac:dyDescent="0.25">
      <c r="A89" s="678"/>
      <c r="B89" s="689" t="s">
        <v>1205</v>
      </c>
      <c r="C89" s="903"/>
      <c r="D89" s="903"/>
      <c r="E89" s="903"/>
      <c r="F89" s="903"/>
      <c r="G89" s="903"/>
      <c r="H89" s="903"/>
      <c r="I89" s="903"/>
      <c r="J89" s="903"/>
      <c r="K89" s="903"/>
      <c r="L89" s="903"/>
      <c r="M89" s="903"/>
      <c r="N89" s="903"/>
      <c r="O89" s="903"/>
      <c r="P89" s="903"/>
      <c r="Q89" s="678"/>
    </row>
    <row r="90" spans="1:17" x14ac:dyDescent="0.25">
      <c r="A90" s="678"/>
      <c r="B90" s="997" t="s">
        <v>1926</v>
      </c>
      <c r="C90" s="996"/>
      <c r="D90" s="996"/>
      <c r="E90" s="996"/>
      <c r="F90" s="996"/>
      <c r="G90" s="996"/>
      <c r="H90" s="996"/>
      <c r="I90" s="996"/>
      <c r="J90" s="996"/>
      <c r="K90" s="996"/>
      <c r="L90" s="996"/>
      <c r="M90" s="996"/>
      <c r="N90" s="996"/>
      <c r="O90" s="996"/>
      <c r="P90" s="996"/>
      <c r="Q90" s="678"/>
    </row>
    <row r="91" spans="1:17" x14ac:dyDescent="0.25">
      <c r="A91" s="678"/>
      <c r="B91" s="1002" t="s">
        <v>1928</v>
      </c>
      <c r="C91" s="903"/>
      <c r="D91" s="903"/>
      <c r="E91" s="903"/>
      <c r="F91" s="903"/>
      <c r="G91" s="903"/>
      <c r="H91" s="903"/>
      <c r="I91" s="903"/>
      <c r="J91" s="903"/>
      <c r="K91" s="903"/>
      <c r="L91" s="903"/>
      <c r="M91" s="903"/>
      <c r="N91" s="903"/>
      <c r="O91" s="903"/>
      <c r="P91" s="903"/>
      <c r="Q91" s="678"/>
    </row>
    <row r="92" spans="1:17" x14ac:dyDescent="0.25">
      <c r="A92" s="678"/>
      <c r="B92" s="689" t="s">
        <v>1929</v>
      </c>
      <c r="C92" s="903"/>
      <c r="D92" s="903"/>
      <c r="E92" s="903"/>
      <c r="F92" s="903"/>
      <c r="G92" s="903"/>
      <c r="H92" s="903"/>
      <c r="I92" s="903"/>
      <c r="J92" s="903"/>
      <c r="K92" s="903"/>
      <c r="L92" s="903"/>
      <c r="M92" s="903"/>
      <c r="N92" s="903"/>
      <c r="O92" s="903"/>
      <c r="P92" s="903"/>
      <c r="Q92" s="678"/>
    </row>
    <row r="93" spans="1:17" x14ac:dyDescent="0.25">
      <c r="A93" s="678"/>
      <c r="B93" s="903"/>
      <c r="C93" s="903"/>
      <c r="D93" s="903"/>
      <c r="E93" s="903"/>
      <c r="F93" s="903"/>
      <c r="G93" s="903"/>
      <c r="H93" s="903"/>
      <c r="I93" s="903"/>
      <c r="J93" s="903"/>
      <c r="K93" s="903"/>
      <c r="L93" s="903"/>
      <c r="M93" s="903"/>
      <c r="N93" s="903"/>
      <c r="O93" s="903"/>
      <c r="P93" s="903"/>
      <c r="Q93" s="678"/>
    </row>
    <row r="94" spans="1:17" ht="15.75" x14ac:dyDescent="0.25">
      <c r="A94" s="678"/>
      <c r="B94" s="933" t="s">
        <v>1238</v>
      </c>
      <c r="C94" s="688"/>
      <c r="D94" s="688"/>
      <c r="E94" s="688"/>
      <c r="F94" s="688"/>
      <c r="G94" s="688"/>
      <c r="H94" s="688"/>
      <c r="I94" s="688"/>
      <c r="J94" s="688"/>
      <c r="K94" s="688"/>
      <c r="L94" s="688"/>
      <c r="M94" s="688"/>
      <c r="N94" s="688"/>
      <c r="O94" s="13"/>
      <c r="P94" s="903"/>
      <c r="Q94" s="678"/>
    </row>
    <row r="95" spans="1:17" x14ac:dyDescent="0.25">
      <c r="A95" s="678"/>
      <c r="B95" s="689" t="s">
        <v>1794</v>
      </c>
      <c r="C95" s="689"/>
      <c r="D95" s="689"/>
      <c r="E95" s="689"/>
      <c r="F95" s="689"/>
      <c r="G95" s="689"/>
      <c r="H95" s="689"/>
      <c r="I95" s="689"/>
      <c r="J95" s="689"/>
      <c r="K95" s="689"/>
      <c r="L95" s="689"/>
      <c r="M95" s="689"/>
      <c r="N95" s="689"/>
      <c r="O95" s="13"/>
      <c r="P95" s="903"/>
      <c r="Q95" s="678"/>
    </row>
    <row r="96" spans="1:17" x14ac:dyDescent="0.25">
      <c r="A96" s="678"/>
      <c r="B96" s="934" t="s">
        <v>1797</v>
      </c>
      <c r="C96" s="689"/>
      <c r="D96" s="689"/>
      <c r="E96" s="689"/>
      <c r="F96" s="689"/>
      <c r="G96" s="689"/>
      <c r="H96" s="689"/>
      <c r="I96" s="689"/>
      <c r="J96" s="689"/>
      <c r="K96" s="689"/>
      <c r="L96" s="689"/>
      <c r="M96" s="689"/>
      <c r="N96" s="689"/>
      <c r="O96" s="13"/>
      <c r="P96" s="903"/>
      <c r="Q96" s="678"/>
    </row>
    <row r="97" spans="1:17" x14ac:dyDescent="0.25">
      <c r="A97" s="678"/>
      <c r="B97" s="1220" t="s">
        <v>1798</v>
      </c>
      <c r="C97" s="1220"/>
      <c r="D97" s="1220"/>
      <c r="E97" s="1220"/>
      <c r="F97" s="1220"/>
      <c r="G97" s="1220"/>
      <c r="H97" s="1220"/>
      <c r="I97" s="1220"/>
      <c r="J97" s="1220"/>
      <c r="K97" s="1220"/>
      <c r="L97" s="1220"/>
      <c r="M97" s="1220"/>
      <c r="N97" s="1220"/>
      <c r="O97" s="1220"/>
      <c r="P97" s="903"/>
      <c r="Q97" s="678"/>
    </row>
    <row r="98" spans="1:17" x14ac:dyDescent="0.25">
      <c r="A98" s="678"/>
      <c r="B98" s="1220" t="s">
        <v>1795</v>
      </c>
      <c r="C98" s="1220"/>
      <c r="D98" s="1220"/>
      <c r="E98" s="1220"/>
      <c r="F98" s="1220"/>
      <c r="G98" s="1220"/>
      <c r="H98" s="1220"/>
      <c r="I98" s="1220"/>
      <c r="J98" s="1220"/>
      <c r="K98" s="1220"/>
      <c r="L98" s="1220"/>
      <c r="M98" s="1220"/>
      <c r="N98" s="1220"/>
      <c r="O98" s="1220"/>
      <c r="P98" s="903"/>
      <c r="Q98" s="678"/>
    </row>
    <row r="99" spans="1:17" x14ac:dyDescent="0.25">
      <c r="A99" s="678"/>
      <c r="B99" s="1220" t="s">
        <v>1796</v>
      </c>
      <c r="C99" s="1220"/>
      <c r="D99" s="1220"/>
      <c r="E99" s="1220"/>
      <c r="F99" s="1220"/>
      <c r="G99" s="1220"/>
      <c r="H99" s="1220"/>
      <c r="I99" s="1220"/>
      <c r="J99" s="1220"/>
      <c r="K99" s="1220"/>
      <c r="L99" s="1220"/>
      <c r="M99" s="1220"/>
      <c r="N99" s="1220"/>
      <c r="O99" s="1220"/>
      <c r="P99" s="903"/>
      <c r="Q99" s="678"/>
    </row>
    <row r="100" spans="1:17" x14ac:dyDescent="0.25">
      <c r="A100" s="678"/>
      <c r="B100" s="934" t="s">
        <v>1799</v>
      </c>
      <c r="C100" s="900"/>
      <c r="D100" s="900"/>
      <c r="E100" s="900"/>
      <c r="F100" s="900"/>
      <c r="G100" s="900"/>
      <c r="H100" s="900"/>
      <c r="I100" s="900"/>
      <c r="J100" s="900"/>
      <c r="K100" s="900"/>
      <c r="L100" s="900"/>
      <c r="M100" s="900"/>
      <c r="N100" s="900"/>
      <c r="O100" s="900"/>
      <c r="P100" s="903"/>
      <c r="Q100" s="678"/>
    </row>
    <row r="101" spans="1:17" ht="30" customHeight="1" x14ac:dyDescent="0.25">
      <c r="A101" s="678"/>
      <c r="B101" s="1220" t="s">
        <v>1800</v>
      </c>
      <c r="C101" s="1220"/>
      <c r="D101" s="1220"/>
      <c r="E101" s="1220"/>
      <c r="F101" s="1220"/>
      <c r="G101" s="1220"/>
      <c r="H101" s="1220"/>
      <c r="I101" s="1220"/>
      <c r="J101" s="1220"/>
      <c r="K101" s="1220"/>
      <c r="L101" s="1220"/>
      <c r="M101" s="1220"/>
      <c r="N101" s="1220"/>
      <c r="O101" s="1220"/>
      <c r="P101" s="903"/>
      <c r="Q101" s="678"/>
    </row>
    <row r="102" spans="1:17" ht="30" customHeight="1" x14ac:dyDescent="0.25">
      <c r="A102" s="678"/>
      <c r="B102" s="1220" t="s">
        <v>1853</v>
      </c>
      <c r="C102" s="1220"/>
      <c r="D102" s="1220"/>
      <c r="E102" s="1220"/>
      <c r="F102" s="1220"/>
      <c r="G102" s="1220"/>
      <c r="H102" s="1220"/>
      <c r="I102" s="1220"/>
      <c r="J102" s="1220"/>
      <c r="K102" s="1220"/>
      <c r="L102" s="1220"/>
      <c r="M102" s="1220"/>
      <c r="N102" s="1220"/>
      <c r="O102" s="1220"/>
      <c r="P102" s="903"/>
      <c r="Q102" s="678"/>
    </row>
    <row r="103" spans="1:17" ht="30" customHeight="1" x14ac:dyDescent="0.25">
      <c r="A103" s="678"/>
      <c r="B103" s="1220" t="s">
        <v>1801</v>
      </c>
      <c r="C103" s="1220"/>
      <c r="D103" s="1220"/>
      <c r="E103" s="1220"/>
      <c r="F103" s="1220"/>
      <c r="G103" s="1220"/>
      <c r="H103" s="1220"/>
      <c r="I103" s="1220"/>
      <c r="J103" s="1220"/>
      <c r="K103" s="1220"/>
      <c r="L103" s="1220"/>
      <c r="M103" s="1220"/>
      <c r="N103" s="1220"/>
      <c r="O103" s="1220"/>
      <c r="P103" s="903"/>
      <c r="Q103" s="678"/>
    </row>
    <row r="104" spans="1:17" ht="30" customHeight="1" x14ac:dyDescent="0.25">
      <c r="A104" s="678"/>
      <c r="B104" s="1220" t="s">
        <v>1802</v>
      </c>
      <c r="C104" s="1220"/>
      <c r="D104" s="1220"/>
      <c r="E104" s="1220"/>
      <c r="F104" s="1220"/>
      <c r="G104" s="1220"/>
      <c r="H104" s="1220"/>
      <c r="I104" s="1220"/>
      <c r="J104" s="1220"/>
      <c r="K104" s="1220"/>
      <c r="L104" s="1220"/>
      <c r="M104" s="1220"/>
      <c r="N104" s="1220"/>
      <c r="O104" s="1220"/>
      <c r="P104" s="680"/>
      <c r="Q104" s="678"/>
    </row>
    <row r="105" spans="1:17" ht="11.25" customHeight="1" x14ac:dyDescent="0.25">
      <c r="A105" s="678"/>
      <c r="B105" s="900"/>
      <c r="C105" s="900"/>
      <c r="D105" s="900"/>
      <c r="E105" s="900"/>
      <c r="F105" s="900"/>
      <c r="G105" s="900"/>
      <c r="H105" s="900"/>
      <c r="I105" s="900"/>
      <c r="J105" s="900"/>
      <c r="K105" s="900"/>
      <c r="L105" s="900"/>
      <c r="M105" s="900"/>
      <c r="N105" s="900"/>
      <c r="O105" s="900"/>
      <c r="P105" s="903"/>
      <c r="Q105" s="678"/>
    </row>
    <row r="106" spans="1:17" ht="11.25" customHeight="1" x14ac:dyDescent="0.25">
      <c r="A106" s="678"/>
      <c r="B106" s="900"/>
      <c r="C106" s="900"/>
      <c r="D106" s="900"/>
      <c r="E106" s="900"/>
      <c r="F106" s="900"/>
      <c r="G106" s="900"/>
      <c r="H106" s="900"/>
      <c r="I106" s="900"/>
      <c r="J106" s="900"/>
      <c r="K106" s="900"/>
      <c r="L106" s="900"/>
      <c r="M106" s="900"/>
      <c r="N106" s="900"/>
      <c r="O106" s="900"/>
      <c r="P106" s="903"/>
      <c r="Q106" s="678"/>
    </row>
    <row r="107" spans="1:17" ht="19.5" customHeight="1" x14ac:dyDescent="0.25">
      <c r="A107" s="678"/>
      <c r="B107" s="1224" t="s">
        <v>1292</v>
      </c>
      <c r="C107" s="1224"/>
      <c r="D107" s="1224"/>
      <c r="E107" s="1224"/>
      <c r="F107" s="686"/>
      <c r="G107" s="686"/>
      <c r="H107" s="686"/>
      <c r="I107" s="686"/>
      <c r="J107" s="686"/>
      <c r="K107" s="686"/>
      <c r="L107" s="686"/>
      <c r="M107" s="686"/>
      <c r="N107" s="686"/>
      <c r="O107" s="680"/>
      <c r="P107" s="680"/>
      <c r="Q107" s="678"/>
    </row>
    <row r="108" spans="1:17" ht="7.5" customHeight="1" x14ac:dyDescent="0.35">
      <c r="A108" s="678"/>
      <c r="B108" s="687"/>
      <c r="C108" s="686"/>
      <c r="D108" s="686"/>
      <c r="E108" s="686"/>
      <c r="F108" s="686"/>
      <c r="G108" s="686"/>
      <c r="H108" s="686"/>
      <c r="I108" s="686"/>
      <c r="J108" s="686"/>
      <c r="K108" s="686"/>
      <c r="L108" s="686"/>
      <c r="M108" s="686"/>
      <c r="N108" s="686"/>
      <c r="O108" s="680"/>
      <c r="P108" s="680"/>
      <c r="Q108" s="678"/>
    </row>
    <row r="109" spans="1:17" ht="15.75" x14ac:dyDescent="0.25">
      <c r="A109" s="13"/>
      <c r="B109" s="933" t="s">
        <v>1291</v>
      </c>
      <c r="C109" s="688"/>
      <c r="D109" s="688"/>
      <c r="E109" s="688"/>
      <c r="F109" s="688"/>
      <c r="G109" s="688"/>
      <c r="H109" s="688"/>
      <c r="I109" s="688"/>
      <c r="J109" s="688"/>
      <c r="K109" s="688"/>
      <c r="L109" s="688"/>
      <c r="M109" s="688"/>
      <c r="N109" s="688"/>
      <c r="O109" s="13"/>
      <c r="P109" s="13"/>
      <c r="Q109" s="13"/>
    </row>
    <row r="110" spans="1:17" x14ac:dyDescent="0.25">
      <c r="A110" s="13"/>
      <c r="B110" s="689" t="s">
        <v>1740</v>
      </c>
      <c r="C110" s="688"/>
      <c r="D110" s="688"/>
      <c r="E110" s="688"/>
      <c r="F110" s="688"/>
      <c r="G110" s="688"/>
      <c r="H110" s="688"/>
      <c r="I110" s="688"/>
      <c r="J110" s="688"/>
      <c r="K110" s="688"/>
      <c r="L110" s="688"/>
      <c r="M110" s="688"/>
      <c r="N110" s="688"/>
      <c r="O110" s="13"/>
      <c r="P110" s="13"/>
      <c r="Q110" s="13"/>
    </row>
    <row r="111" spans="1:17" x14ac:dyDescent="0.25">
      <c r="A111" s="13"/>
      <c r="B111" s="927" t="s">
        <v>1741</v>
      </c>
      <c r="C111" s="688"/>
      <c r="D111" s="688"/>
      <c r="E111" s="688"/>
      <c r="F111" s="688"/>
      <c r="G111" s="688"/>
      <c r="H111" s="688"/>
      <c r="I111" s="688"/>
      <c r="J111" s="688"/>
      <c r="K111" s="688"/>
      <c r="L111" s="688"/>
      <c r="M111" s="688"/>
      <c r="N111" s="688"/>
      <c r="O111" s="13"/>
      <c r="P111" s="13"/>
      <c r="Q111" s="13"/>
    </row>
    <row r="112" spans="1:17" x14ac:dyDescent="0.25">
      <c r="A112" s="13"/>
      <c r="B112" s="927" t="s">
        <v>1742</v>
      </c>
      <c r="C112" s="688"/>
      <c r="D112" s="688"/>
      <c r="E112" s="688"/>
      <c r="F112" s="688"/>
      <c r="G112" s="688"/>
      <c r="H112" s="688"/>
      <c r="I112" s="688"/>
      <c r="J112" s="688"/>
      <c r="K112" s="688"/>
      <c r="L112" s="688"/>
      <c r="M112" s="688"/>
      <c r="N112" s="688"/>
      <c r="O112" s="13"/>
      <c r="P112" s="13"/>
      <c r="Q112" s="13"/>
    </row>
    <row r="113" spans="1:17" x14ac:dyDescent="0.25">
      <c r="A113" s="13"/>
      <c r="B113" s="689" t="s">
        <v>1743</v>
      </c>
      <c r="C113" s="688"/>
      <c r="D113" s="688"/>
      <c r="E113" s="688"/>
      <c r="F113" s="688"/>
      <c r="G113" s="688"/>
      <c r="H113" s="688"/>
      <c r="I113" s="688"/>
      <c r="J113" s="688"/>
      <c r="K113" s="688"/>
      <c r="L113" s="688"/>
      <c r="M113" s="688"/>
      <c r="N113" s="688"/>
      <c r="O113" s="13"/>
      <c r="P113" s="13"/>
      <c r="Q113" s="13"/>
    </row>
    <row r="114" spans="1:17" x14ac:dyDescent="0.25">
      <c r="A114" s="13"/>
      <c r="B114" s="689"/>
      <c r="C114" s="688"/>
      <c r="D114" s="688"/>
      <c r="E114" s="688"/>
      <c r="F114" s="688"/>
      <c r="G114" s="688"/>
      <c r="H114" s="688"/>
      <c r="I114" s="688"/>
      <c r="J114" s="688"/>
      <c r="K114" s="688"/>
      <c r="L114" s="688"/>
      <c r="M114" s="688"/>
      <c r="N114" s="688"/>
      <c r="O114" s="13"/>
      <c r="P114" s="13"/>
      <c r="Q114" s="13"/>
    </row>
    <row r="115" spans="1:17" ht="15.75" x14ac:dyDescent="0.25">
      <c r="A115" s="13"/>
      <c r="B115" s="933" t="s">
        <v>1739</v>
      </c>
      <c r="C115" s="688"/>
      <c r="D115" s="688"/>
      <c r="E115" s="688"/>
      <c r="F115" s="688"/>
      <c r="G115" s="688"/>
      <c r="H115" s="688"/>
      <c r="I115" s="688"/>
      <c r="J115" s="688"/>
      <c r="K115" s="688"/>
      <c r="L115" s="688"/>
      <c r="M115" s="688"/>
      <c r="N115" s="688"/>
      <c r="O115" s="13"/>
      <c r="P115" s="13"/>
      <c r="Q115" s="13"/>
    </row>
    <row r="116" spans="1:17" x14ac:dyDescent="0.25">
      <c r="A116" s="13"/>
      <c r="B116" s="1227" t="s">
        <v>1897</v>
      </c>
      <c r="C116" s="1227"/>
      <c r="D116" s="1227"/>
      <c r="E116" s="1227"/>
      <c r="F116" s="1227"/>
      <c r="G116" s="1227"/>
      <c r="H116" s="1227"/>
      <c r="I116" s="1227"/>
      <c r="J116" s="1227"/>
      <c r="K116" s="1227"/>
      <c r="L116" s="1227"/>
      <c r="M116" s="1227"/>
      <c r="N116" s="1227"/>
      <c r="O116" s="1227"/>
      <c r="P116" s="13"/>
      <c r="Q116" s="13"/>
    </row>
    <row r="117" spans="1:17" x14ac:dyDescent="0.25">
      <c r="A117" s="13"/>
      <c r="B117" s="1227" t="s">
        <v>2391</v>
      </c>
      <c r="C117" s="1227"/>
      <c r="D117" s="1227"/>
      <c r="E117" s="1227"/>
      <c r="F117" s="1227"/>
      <c r="G117" s="1227"/>
      <c r="H117" s="1227"/>
      <c r="I117" s="1227"/>
      <c r="J117" s="1227"/>
      <c r="K117" s="1227"/>
      <c r="L117" s="1227"/>
      <c r="M117" s="1227"/>
      <c r="N117" s="1227"/>
      <c r="O117" s="1227"/>
      <c r="P117" s="13"/>
      <c r="Q117" s="13"/>
    </row>
    <row r="118" spans="1:17" x14ac:dyDescent="0.25">
      <c r="A118" s="13"/>
      <c r="B118" s="1220"/>
      <c r="C118" s="1220"/>
      <c r="D118" s="1220"/>
      <c r="E118" s="1220"/>
      <c r="F118" s="1220"/>
      <c r="G118" s="1220"/>
      <c r="H118" s="1220"/>
      <c r="I118" s="1220"/>
      <c r="J118" s="1220"/>
      <c r="K118" s="1220"/>
      <c r="L118" s="1220"/>
      <c r="M118" s="1220"/>
      <c r="N118" s="1220"/>
      <c r="O118" s="1220"/>
      <c r="P118" s="13"/>
      <c r="Q118" s="13"/>
    </row>
    <row r="119" spans="1:17" ht="15.75" x14ac:dyDescent="0.25">
      <c r="A119" s="13"/>
      <c r="B119" s="933" t="s">
        <v>1744</v>
      </c>
      <c r="C119" s="13"/>
      <c r="D119" s="13"/>
      <c r="E119" s="13"/>
      <c r="F119" s="13"/>
      <c r="G119" s="13"/>
      <c r="H119" s="13"/>
      <c r="I119" s="13"/>
      <c r="J119" s="13"/>
      <c r="K119" s="13"/>
      <c r="L119" s="13"/>
      <c r="M119" s="13"/>
      <c r="N119" s="13"/>
      <c r="O119" s="13"/>
      <c r="P119" s="13"/>
      <c r="Q119" s="13"/>
    </row>
    <row r="120" spans="1:17" ht="30" customHeight="1" x14ac:dyDescent="0.25">
      <c r="A120" s="13"/>
      <c r="B120" s="1221" t="s">
        <v>1745</v>
      </c>
      <c r="C120" s="1221"/>
      <c r="D120" s="1221"/>
      <c r="E120" s="1221"/>
      <c r="F120" s="1221"/>
      <c r="G120" s="1221"/>
      <c r="H120" s="1221"/>
      <c r="I120" s="1221"/>
      <c r="J120" s="1221"/>
      <c r="K120" s="1221"/>
      <c r="L120" s="1221"/>
      <c r="M120" s="1221"/>
      <c r="N120" s="1221"/>
      <c r="O120" s="1221"/>
      <c r="P120" s="13"/>
      <c r="Q120" s="13"/>
    </row>
    <row r="121" spans="1:17" ht="30" customHeight="1" x14ac:dyDescent="0.25">
      <c r="A121" s="13"/>
      <c r="B121" s="1221" t="s">
        <v>1746</v>
      </c>
      <c r="C121" s="1221"/>
      <c r="D121" s="1221"/>
      <c r="E121" s="1221"/>
      <c r="F121" s="1221"/>
      <c r="G121" s="1221"/>
      <c r="H121" s="1221"/>
      <c r="I121" s="1221"/>
      <c r="J121" s="1221"/>
      <c r="K121" s="1221"/>
      <c r="L121" s="1221"/>
      <c r="M121" s="1221"/>
      <c r="N121" s="1221"/>
      <c r="O121" s="1221"/>
      <c r="P121" s="13"/>
      <c r="Q121" s="13"/>
    </row>
    <row r="122" spans="1:17" x14ac:dyDescent="0.25">
      <c r="A122" s="13"/>
      <c r="B122" s="13"/>
      <c r="C122" s="13"/>
      <c r="D122" s="13"/>
      <c r="E122" s="13"/>
      <c r="F122" s="13"/>
      <c r="G122" s="13"/>
      <c r="H122" s="13"/>
      <c r="I122" s="13"/>
      <c r="J122" s="13"/>
      <c r="K122" s="13"/>
      <c r="L122" s="13"/>
      <c r="M122" s="13"/>
      <c r="N122" s="13"/>
      <c r="O122" s="13"/>
      <c r="P122" s="13"/>
      <c r="Q122" s="13"/>
    </row>
    <row r="123" spans="1:17" ht="15.75" x14ac:dyDescent="0.25">
      <c r="A123" s="13"/>
      <c r="B123" s="933" t="s">
        <v>1747</v>
      </c>
      <c r="C123" s="13"/>
      <c r="D123" s="13"/>
      <c r="E123" s="13"/>
      <c r="F123" s="13"/>
      <c r="G123" s="13"/>
      <c r="H123" s="13"/>
      <c r="I123" s="13"/>
      <c r="J123" s="13"/>
      <c r="K123" s="13"/>
      <c r="L123" s="13"/>
      <c r="M123" s="13"/>
      <c r="N123" s="13"/>
      <c r="O123" s="13"/>
      <c r="P123" s="13"/>
      <c r="Q123" s="13"/>
    </row>
    <row r="124" spans="1:17" x14ac:dyDescent="0.25">
      <c r="A124" s="13"/>
      <c r="B124" s="689" t="s">
        <v>1748</v>
      </c>
      <c r="C124" s="13"/>
      <c r="D124" s="13"/>
      <c r="E124" s="13"/>
      <c r="F124" s="13"/>
      <c r="G124" s="13"/>
      <c r="H124" s="13"/>
      <c r="I124" s="13"/>
      <c r="J124" s="13"/>
      <c r="K124" s="13"/>
      <c r="L124" s="13"/>
      <c r="M124" s="13"/>
      <c r="N124" s="13"/>
      <c r="O124" s="13"/>
      <c r="P124" s="13"/>
      <c r="Q124" s="13"/>
    </row>
    <row r="125" spans="1:17" x14ac:dyDescent="0.25">
      <c r="A125" s="13"/>
      <c r="B125" s="13"/>
      <c r="C125" s="13"/>
      <c r="D125" s="13"/>
      <c r="E125" s="13"/>
      <c r="F125" s="13"/>
      <c r="G125" s="13"/>
      <c r="H125" s="13"/>
      <c r="I125" s="13"/>
      <c r="J125" s="13"/>
      <c r="K125" s="13"/>
      <c r="L125" s="13"/>
      <c r="M125" s="13"/>
      <c r="N125" s="13"/>
      <c r="O125" s="13"/>
      <c r="P125" s="13"/>
      <c r="Q125" s="13"/>
    </row>
    <row r="126" spans="1:17" ht="15.75" x14ac:dyDescent="0.25">
      <c r="A126" s="13"/>
      <c r="B126" s="933" t="s">
        <v>1930</v>
      </c>
      <c r="C126" s="13"/>
      <c r="D126" s="13"/>
      <c r="E126" s="13"/>
      <c r="F126" s="13"/>
      <c r="G126" s="13"/>
      <c r="H126" s="13"/>
      <c r="I126" s="13"/>
      <c r="J126" s="13"/>
      <c r="K126" s="13"/>
      <c r="L126" s="13"/>
      <c r="M126" s="13"/>
      <c r="N126" s="13"/>
      <c r="O126" s="13"/>
      <c r="P126" s="13"/>
      <c r="Q126" s="13"/>
    </row>
    <row r="127" spans="1:17" x14ac:dyDescent="0.25">
      <c r="A127" s="13"/>
      <c r="B127" s="1003" t="s">
        <v>1931</v>
      </c>
      <c r="C127" s="13"/>
      <c r="D127" s="13"/>
      <c r="E127" s="13"/>
      <c r="F127" s="13"/>
      <c r="G127" s="13"/>
      <c r="H127" s="13"/>
      <c r="I127" s="13"/>
      <c r="J127" s="13"/>
      <c r="K127" s="13"/>
      <c r="L127" s="13"/>
      <c r="M127" s="13"/>
      <c r="N127" s="13"/>
      <c r="O127" s="13"/>
      <c r="P127" s="13"/>
      <c r="Q127" s="13"/>
    </row>
    <row r="128" spans="1:17" x14ac:dyDescent="0.25">
      <c r="A128" s="13"/>
      <c r="B128" s="1004" t="s">
        <v>2120</v>
      </c>
      <c r="C128" s="13"/>
      <c r="D128" s="13"/>
      <c r="E128" s="13"/>
      <c r="F128" s="13"/>
      <c r="G128" s="13"/>
      <c r="H128" s="13"/>
      <c r="I128" s="13"/>
      <c r="J128" s="13"/>
      <c r="K128" s="13"/>
      <c r="L128" s="13"/>
      <c r="M128" s="13"/>
      <c r="N128" s="13"/>
      <c r="O128" s="13"/>
      <c r="P128" s="13"/>
      <c r="Q128" s="13"/>
    </row>
    <row r="129" spans="1:17" x14ac:dyDescent="0.25">
      <c r="A129" s="13"/>
      <c r="B129" s="1208" t="s">
        <v>1932</v>
      </c>
      <c r="C129" s="1208"/>
      <c r="D129" s="1208"/>
      <c r="E129" s="1208"/>
      <c r="F129" s="1208"/>
      <c r="G129" s="1208"/>
      <c r="H129" s="1208"/>
      <c r="I129" s="1208"/>
      <c r="J129" s="1208"/>
      <c r="K129" s="1208"/>
      <c r="L129" s="1208"/>
      <c r="M129" s="1208"/>
      <c r="N129" s="1208"/>
      <c r="O129" s="1208"/>
      <c r="P129" s="13"/>
      <c r="Q129" s="13"/>
    </row>
    <row r="130" spans="1:17" x14ac:dyDescent="0.25">
      <c r="A130" s="13"/>
      <c r="B130" s="1208"/>
      <c r="C130" s="1208"/>
      <c r="D130" s="1208"/>
      <c r="E130" s="1208"/>
      <c r="F130" s="1208"/>
      <c r="G130" s="1208"/>
      <c r="H130" s="1208"/>
      <c r="I130" s="1208"/>
      <c r="J130" s="1208"/>
      <c r="K130" s="1208"/>
      <c r="L130" s="1208"/>
      <c r="M130" s="1208"/>
      <c r="N130" s="1208"/>
      <c r="O130" s="1208"/>
      <c r="P130" s="13"/>
      <c r="Q130" s="13"/>
    </row>
    <row r="131" spans="1:17" x14ac:dyDescent="0.25">
      <c r="A131" s="13"/>
      <c r="B131" s="13"/>
      <c r="C131" s="13"/>
      <c r="D131" s="13"/>
      <c r="E131" s="13"/>
      <c r="F131" s="13"/>
      <c r="G131" s="13"/>
      <c r="H131" s="13"/>
      <c r="I131" s="13"/>
      <c r="J131" s="13"/>
      <c r="K131" s="13"/>
      <c r="L131" s="13"/>
      <c r="M131" s="13"/>
      <c r="N131" s="13"/>
      <c r="O131" s="13"/>
      <c r="P131" s="13"/>
      <c r="Q131" s="13"/>
    </row>
    <row r="132" spans="1:17" x14ac:dyDescent="0.25"/>
    <row r="133" spans="1:17" x14ac:dyDescent="0.25"/>
    <row r="134" spans="1:17" x14ac:dyDescent="0.25"/>
    <row r="135" spans="1:17" x14ac:dyDescent="0.25"/>
    <row r="136" spans="1:17" x14ac:dyDescent="0.25"/>
    <row r="137" spans="1:17" x14ac:dyDescent="0.25"/>
    <row r="138" spans="1:17" x14ac:dyDescent="0.25"/>
    <row r="139" spans="1:17" x14ac:dyDescent="0.25"/>
    <row r="140" spans="1:17" x14ac:dyDescent="0.25"/>
    <row r="141" spans="1:17" x14ac:dyDescent="0.25"/>
    <row r="142" spans="1:17" x14ac:dyDescent="0.25"/>
    <row r="143" spans="1:17" x14ac:dyDescent="0.25"/>
  </sheetData>
  <sheetProtection algorithmName="SHA-512" hashValue="ffYMat7X9qGwR+gAN5ppKqKC4lMHtcUGFu79Go015If2JwmTWO+oQ0AHWPgUDr1vEMtEu6LoKiDQgSRpH8tSIA==" saltValue="mEcSyeXMbDpB0DTy0Q1w7A==" spinCount="100000" sheet="1" objects="1" scenarios="1"/>
  <mergeCells count="51">
    <mergeCell ref="B120:O120"/>
    <mergeCell ref="B121:O121"/>
    <mergeCell ref="B80:O80"/>
    <mergeCell ref="B81:O81"/>
    <mergeCell ref="B98:O98"/>
    <mergeCell ref="B99:O99"/>
    <mergeCell ref="B101:O101"/>
    <mergeCell ref="B102:O102"/>
    <mergeCell ref="B103:O103"/>
    <mergeCell ref="B104:O104"/>
    <mergeCell ref="B118:O118"/>
    <mergeCell ref="B107:E107"/>
    <mergeCell ref="B116:O116"/>
    <mergeCell ref="B117:O117"/>
    <mergeCell ref="B45:P45"/>
    <mergeCell ref="B46:P46"/>
    <mergeCell ref="B43:E43"/>
    <mergeCell ref="B77:O77"/>
    <mergeCell ref="B78:O78"/>
    <mergeCell ref="B38:P38"/>
    <mergeCell ref="B41:P41"/>
    <mergeCell ref="B32:P32"/>
    <mergeCell ref="B97:O97"/>
    <mergeCell ref="B14:P16"/>
    <mergeCell ref="B17:P17"/>
    <mergeCell ref="B24:P24"/>
    <mergeCell ref="B25:P25"/>
    <mergeCell ref="B26:P26"/>
    <mergeCell ref="B56:E56"/>
    <mergeCell ref="B19:E19"/>
    <mergeCell ref="B21:P21"/>
    <mergeCell ref="B22:P22"/>
    <mergeCell ref="B23:P23"/>
    <mergeCell ref="B27:P27"/>
    <mergeCell ref="B28:P28"/>
    <mergeCell ref="B129:O130"/>
    <mergeCell ref="J2:K2"/>
    <mergeCell ref="J1:P1"/>
    <mergeCell ref="B10:E10"/>
    <mergeCell ref="B12:P13"/>
    <mergeCell ref="B3:C3"/>
    <mergeCell ref="D3:E3"/>
    <mergeCell ref="B4:C4"/>
    <mergeCell ref="B5:C5"/>
    <mergeCell ref="A1:I1"/>
    <mergeCell ref="B2:C2"/>
    <mergeCell ref="B8:P8"/>
    <mergeCell ref="D4:E4"/>
    <mergeCell ref="D5:E5"/>
    <mergeCell ref="B30:E30"/>
    <mergeCell ref="B35:P35"/>
  </mergeCells>
  <hyperlinks>
    <hyperlink ref="B3" location="Instructions!B8" tooltip="General" display="1. General"/>
    <hyperlink ref="B3:C3" location="Introduction!B10" tooltip="Scope" display="1. Scope"/>
    <hyperlink ref="B4" location="Instructions!B19" tooltip="Categories" display="2. Categories"/>
    <hyperlink ref="B4:C4" location="Introduction!B19" tooltip="Categories" display="2. Categories"/>
    <hyperlink ref="B5" location="Introduction!B30" tooltip="Credits" display="3. Credits"/>
    <hyperlink ref="D3" location="Introduction!B43" display="4. Certification Levels"/>
    <hyperlink ref="D3:E3" location="Introduction!B43" tooltip="Certification Levels" display="4. Certification Levels"/>
    <hyperlink ref="D4:E4" location="Introduction!B56" tooltip="Certification Process" display="5. Certification Process"/>
    <hyperlink ref="D5:E5" location="Introduction!B107" tooltip="Submissions" display="6. Submissions"/>
  </hyperlinks>
  <pageMargins left="0.7" right="0.7" top="0.75" bottom="0.75" header="0.3" footer="0.3"/>
  <pageSetup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5F4970"/>
  </sheetPr>
  <dimension ref="A1:S139"/>
  <sheetViews>
    <sheetView showRowColHeaders="0" workbookViewId="0">
      <pane ySplit="8" topLeftCell="A9" activePane="bottomLeft" state="frozen"/>
      <selection pane="bottomLeft" activeCell="A9" sqref="A9:K9"/>
    </sheetView>
  </sheetViews>
  <sheetFormatPr defaultColWidth="0" defaultRowHeight="15" customHeight="1" zeroHeight="1" x14ac:dyDescent="0.25"/>
  <cols>
    <col min="1" max="1" width="3.7109375" customWidth="1"/>
    <col min="2" max="2" width="23.140625" customWidth="1"/>
    <col min="3" max="3" width="21.5703125" customWidth="1"/>
    <col min="4" max="4" width="17.28515625" customWidth="1"/>
    <col min="5" max="8" width="17.7109375" customWidth="1"/>
    <col min="9" max="9" width="10.7109375" customWidth="1"/>
    <col min="10" max="11" width="8.7109375" customWidth="1"/>
    <col min="12" max="16384" width="9.140625" hidden="1"/>
  </cols>
  <sheetData>
    <row r="1" spans="1:13" ht="24" customHeight="1" x14ac:dyDescent="0.25">
      <c r="A1" s="1795" t="s">
        <v>1954</v>
      </c>
      <c r="B1" s="1795"/>
      <c r="C1" s="1795"/>
      <c r="D1" s="1795"/>
      <c r="E1" s="1795"/>
      <c r="F1" s="1795"/>
      <c r="G1" s="1795"/>
      <c r="H1" s="1795"/>
      <c r="I1" s="1795"/>
      <c r="J1" s="1795"/>
      <c r="K1" s="1795"/>
    </row>
    <row r="2" spans="1:13" ht="15" customHeight="1" x14ac:dyDescent="0.25">
      <c r="A2" s="4"/>
      <c r="B2" s="4"/>
      <c r="C2" s="4"/>
      <c r="D2" s="4"/>
      <c r="E2" s="4"/>
      <c r="F2" s="4"/>
      <c r="G2" s="5"/>
      <c r="H2" s="1426" t="s">
        <v>2107</v>
      </c>
      <c r="I2" s="1426"/>
      <c r="J2" s="833" t="s">
        <v>59</v>
      </c>
      <c r="K2" s="833" t="s">
        <v>75</v>
      </c>
    </row>
    <row r="3" spans="1:13" ht="15" customHeight="1" x14ac:dyDescent="0.25">
      <c r="A3" s="4"/>
      <c r="B3" s="4"/>
      <c r="C3" s="4"/>
      <c r="D3" s="4"/>
      <c r="E3" s="4"/>
      <c r="F3" s="4"/>
      <c r="G3" s="5"/>
      <c r="H3" s="1426"/>
      <c r="I3" s="1426"/>
      <c r="J3" s="833" t="s">
        <v>63</v>
      </c>
      <c r="K3" s="833" t="s">
        <v>641</v>
      </c>
    </row>
    <row r="4" spans="1:13" ht="15" customHeight="1" x14ac:dyDescent="0.25">
      <c r="A4" s="4"/>
      <c r="B4" s="4"/>
      <c r="C4" s="4"/>
      <c r="D4" s="4"/>
      <c r="E4" s="4"/>
      <c r="F4" s="4"/>
      <c r="G4" s="5"/>
      <c r="H4" s="1427"/>
      <c r="I4" s="1427"/>
      <c r="J4" s="833" t="s">
        <v>67</v>
      </c>
      <c r="K4" s="833"/>
    </row>
    <row r="5" spans="1:13" s="42" customFormat="1" ht="18" customHeight="1" x14ac:dyDescent="0.25">
      <c r="A5" s="1417" t="s">
        <v>2414</v>
      </c>
      <c r="B5" s="1418"/>
      <c r="C5" s="1418"/>
      <c r="D5" s="1418"/>
      <c r="E5" s="1418"/>
      <c r="F5" s="1418"/>
      <c r="G5" s="1418"/>
      <c r="H5" s="1418"/>
      <c r="I5" s="1418"/>
      <c r="J5" s="1418"/>
      <c r="K5" s="1418"/>
      <c r="L5"/>
      <c r="M5"/>
    </row>
    <row r="6" spans="1:13" s="42" customFormat="1" ht="18" customHeight="1" x14ac:dyDescent="0.25">
      <c r="A6" s="1420"/>
      <c r="B6" s="1421"/>
      <c r="C6" s="1421"/>
      <c r="D6" s="1421"/>
      <c r="E6" s="1421"/>
      <c r="F6" s="1421"/>
      <c r="G6" s="1421"/>
      <c r="H6" s="1421"/>
      <c r="I6" s="1421"/>
      <c r="J6" s="1421"/>
      <c r="K6" s="1421"/>
      <c r="L6"/>
      <c r="M6"/>
    </row>
    <row r="7" spans="1:13" s="42" customFormat="1" ht="18" customHeight="1" x14ac:dyDescent="0.25">
      <c r="A7" s="1423"/>
      <c r="B7" s="1424"/>
      <c r="C7" s="1424"/>
      <c r="D7" s="1424"/>
      <c r="E7" s="1424"/>
      <c r="F7" s="1424"/>
      <c r="G7" s="1424"/>
      <c r="H7" s="1424"/>
      <c r="I7" s="1424"/>
      <c r="J7" s="1424"/>
      <c r="K7" s="1424"/>
      <c r="L7"/>
      <c r="M7"/>
    </row>
    <row r="8" spans="1:13" s="42" customFormat="1" ht="10.5" customHeight="1" x14ac:dyDescent="0.25">
      <c r="A8" s="53"/>
      <c r="B8" s="54"/>
      <c r="C8" s="54"/>
      <c r="D8" s="54"/>
      <c r="E8" s="54"/>
      <c r="F8" s="53"/>
      <c r="G8" s="53"/>
      <c r="H8" s="53"/>
      <c r="I8" s="53"/>
      <c r="J8" s="53"/>
      <c r="K8" s="53"/>
      <c r="L8"/>
      <c r="M8"/>
    </row>
    <row r="9" spans="1:13" ht="18" customHeight="1" x14ac:dyDescent="0.25">
      <c r="A9" s="1799" t="s">
        <v>191</v>
      </c>
      <c r="B9" s="1799"/>
      <c r="C9" s="1799"/>
      <c r="D9" s="1799"/>
      <c r="E9" s="1799"/>
      <c r="F9" s="1799"/>
      <c r="G9" s="1799"/>
      <c r="H9" s="1799"/>
      <c r="I9" s="1799"/>
      <c r="J9" s="1799"/>
      <c r="K9" s="1799"/>
    </row>
    <row r="10" spans="1:13" ht="16.5" customHeight="1" x14ac:dyDescent="0.25">
      <c r="A10" s="5"/>
      <c r="B10" s="4"/>
      <c r="C10" s="4"/>
      <c r="D10" s="4"/>
      <c r="E10" s="4"/>
      <c r="F10" s="5"/>
      <c r="G10" s="5"/>
      <c r="H10" s="5"/>
      <c r="I10" s="5"/>
      <c r="J10" s="5"/>
      <c r="K10" s="5"/>
    </row>
    <row r="11" spans="1:13" ht="19.5" customHeight="1" x14ac:dyDescent="0.25">
      <c r="A11" s="5"/>
      <c r="B11" s="1802" t="s">
        <v>192</v>
      </c>
      <c r="C11" s="1803"/>
      <c r="D11" s="1803"/>
      <c r="E11" s="1803"/>
      <c r="F11" s="480" t="s">
        <v>157</v>
      </c>
      <c r="G11" s="480" t="s">
        <v>56</v>
      </c>
      <c r="H11" s="317" t="s">
        <v>521</v>
      </c>
      <c r="I11" s="5"/>
      <c r="J11" s="5"/>
      <c r="K11" s="5"/>
    </row>
    <row r="12" spans="1:13" ht="30" customHeight="1" x14ac:dyDescent="0.25">
      <c r="A12" s="5"/>
      <c r="B12" s="1474" t="s">
        <v>864</v>
      </c>
      <c r="C12" s="1475"/>
      <c r="D12" s="1475"/>
      <c r="E12" s="1476"/>
      <c r="F12" s="40">
        <v>2</v>
      </c>
      <c r="G12" s="324">
        <f ca="1">C66</f>
        <v>0</v>
      </c>
      <c r="H12" s="324" t="str">
        <f ca="1">C67</f>
        <v>No</v>
      </c>
      <c r="I12" s="5"/>
      <c r="J12" s="5"/>
      <c r="K12" s="5"/>
    </row>
    <row r="13" spans="1:13" ht="16.5" customHeight="1" x14ac:dyDescent="0.25">
      <c r="A13" s="5"/>
      <c r="B13" s="4"/>
      <c r="C13" s="4"/>
      <c r="D13" s="4"/>
      <c r="E13" s="4"/>
      <c r="F13" s="5"/>
      <c r="G13" s="5"/>
      <c r="H13" s="5"/>
      <c r="I13" s="5"/>
      <c r="J13" s="5"/>
      <c r="K13" s="5"/>
    </row>
    <row r="14" spans="1:13" ht="18" customHeight="1" x14ac:dyDescent="0.25">
      <c r="A14" s="1799" t="s">
        <v>265</v>
      </c>
      <c r="B14" s="1799"/>
      <c r="C14" s="1799"/>
      <c r="D14" s="1799"/>
      <c r="E14" s="1799"/>
      <c r="F14" s="1799"/>
      <c r="G14" s="1799"/>
      <c r="H14" s="1799"/>
      <c r="I14" s="1799"/>
      <c r="J14" s="1799"/>
      <c r="K14" s="1799"/>
    </row>
    <row r="15" spans="1:13" x14ac:dyDescent="0.25">
      <c r="A15" s="4"/>
      <c r="B15" s="4"/>
      <c r="C15" s="4"/>
      <c r="D15" s="4"/>
      <c r="E15" s="4"/>
      <c r="F15" s="4"/>
      <c r="G15" s="4"/>
      <c r="H15" s="4"/>
      <c r="I15" s="4"/>
      <c r="J15" s="4"/>
      <c r="K15" s="4"/>
    </row>
    <row r="16" spans="1:13" x14ac:dyDescent="0.25">
      <c r="A16" s="4"/>
      <c r="B16" s="661" t="s">
        <v>1289</v>
      </c>
      <c r="C16" s="4"/>
      <c r="D16" s="4"/>
      <c r="E16" s="4"/>
      <c r="F16" s="4"/>
      <c r="G16" s="4"/>
      <c r="H16" s="4"/>
      <c r="I16" s="4"/>
      <c r="J16" s="4"/>
      <c r="K16" s="4"/>
    </row>
    <row r="17" spans="1:11" ht="18" customHeight="1" x14ac:dyDescent="0.25">
      <c r="A17" s="4"/>
      <c r="B17" s="4"/>
      <c r="C17" s="4"/>
      <c r="D17" s="4"/>
      <c r="E17" s="4"/>
      <c r="F17" s="4"/>
      <c r="G17" s="4"/>
      <c r="H17" s="4"/>
      <c r="I17" s="4"/>
      <c r="J17" s="4"/>
      <c r="K17" s="4"/>
    </row>
    <row r="18" spans="1:11" x14ac:dyDescent="0.25">
      <c r="A18" s="4"/>
      <c r="B18" s="660" t="s">
        <v>1113</v>
      </c>
      <c r="C18" s="4"/>
      <c r="D18" s="4"/>
      <c r="E18" s="4"/>
      <c r="F18" s="4"/>
      <c r="G18" s="4"/>
      <c r="H18" s="4"/>
      <c r="I18" s="4"/>
      <c r="J18" s="4"/>
      <c r="K18" s="4"/>
    </row>
    <row r="19" spans="1:11" x14ac:dyDescent="0.25">
      <c r="A19" s="4"/>
      <c r="B19" s="837" t="s">
        <v>1115</v>
      </c>
      <c r="C19" s="4"/>
      <c r="D19" s="4"/>
      <c r="E19" s="4"/>
      <c r="F19" s="4"/>
      <c r="G19" s="4"/>
      <c r="H19" s="4"/>
      <c r="I19" s="4"/>
      <c r="J19" s="4"/>
      <c r="K19" s="4"/>
    </row>
    <row r="20" spans="1:11" x14ac:dyDescent="0.25">
      <c r="A20" s="4"/>
      <c r="B20" s="837" t="s">
        <v>1114</v>
      </c>
      <c r="C20" s="4"/>
      <c r="D20" s="4"/>
      <c r="E20" s="4"/>
      <c r="F20" s="4"/>
      <c r="G20" s="4"/>
      <c r="H20" s="4"/>
      <c r="I20" s="4"/>
      <c r="J20" s="4"/>
      <c r="K20" s="4"/>
    </row>
    <row r="21" spans="1:11" x14ac:dyDescent="0.25">
      <c r="A21" s="4"/>
      <c r="B21" s="837" t="s">
        <v>852</v>
      </c>
      <c r="C21" s="4"/>
      <c r="D21" s="4"/>
      <c r="E21" s="4"/>
      <c r="F21" s="4"/>
      <c r="G21" s="4"/>
      <c r="H21" s="4"/>
      <c r="I21" s="4"/>
      <c r="J21" s="4"/>
      <c r="K21" s="4"/>
    </row>
    <row r="22" spans="1:11" x14ac:dyDescent="0.25">
      <c r="A22" s="4"/>
      <c r="B22" s="660" t="s">
        <v>1116</v>
      </c>
      <c r="C22" s="4"/>
      <c r="D22" s="4"/>
      <c r="E22" s="4"/>
      <c r="F22" s="4"/>
      <c r="G22" s="4"/>
      <c r="H22" s="4"/>
      <c r="I22" s="4"/>
      <c r="J22" s="4"/>
      <c r="K22" s="4"/>
    </row>
    <row r="23" spans="1:11" x14ac:dyDescent="0.25">
      <c r="A23" s="4"/>
      <c r="B23" s="473"/>
      <c r="C23" s="4"/>
      <c r="D23" s="4"/>
      <c r="E23" s="4"/>
      <c r="F23" s="4"/>
      <c r="G23" s="4"/>
      <c r="H23" s="4"/>
      <c r="I23" s="4"/>
      <c r="J23" s="4"/>
      <c r="K23" s="4"/>
    </row>
    <row r="24" spans="1:11" x14ac:dyDescent="0.25">
      <c r="A24" s="4"/>
      <c r="B24" s="668" t="s">
        <v>863</v>
      </c>
      <c r="C24" s="662"/>
      <c r="D24" s="662"/>
      <c r="E24" s="662"/>
      <c r="F24" s="662"/>
      <c r="G24" s="662"/>
      <c r="H24" s="662"/>
      <c r="I24" s="663"/>
      <c r="J24" s="4"/>
      <c r="K24" s="4"/>
    </row>
    <row r="25" spans="1:11" x14ac:dyDescent="0.25">
      <c r="A25" s="4"/>
      <c r="B25" s="669" t="s">
        <v>850</v>
      </c>
      <c r="C25" s="664"/>
      <c r="D25" s="664"/>
      <c r="E25" s="664"/>
      <c r="F25" s="664"/>
      <c r="G25" s="664"/>
      <c r="H25" s="664"/>
      <c r="I25" s="665"/>
      <c r="J25" s="4"/>
      <c r="K25" s="4"/>
    </row>
    <row r="26" spans="1:11" x14ac:dyDescent="0.25">
      <c r="A26" s="4"/>
      <c r="B26" s="669" t="s">
        <v>851</v>
      </c>
      <c r="C26" s="664"/>
      <c r="D26" s="664"/>
      <c r="E26" s="664"/>
      <c r="F26" s="664"/>
      <c r="G26" s="664"/>
      <c r="H26" s="664"/>
      <c r="I26" s="665"/>
      <c r="J26" s="4"/>
      <c r="K26" s="4"/>
    </row>
    <row r="27" spans="1:11" x14ac:dyDescent="0.25">
      <c r="A27" s="4"/>
      <c r="B27" s="669" t="s">
        <v>862</v>
      </c>
      <c r="C27" s="664"/>
      <c r="D27" s="664"/>
      <c r="E27" s="664"/>
      <c r="F27" s="664"/>
      <c r="G27" s="664"/>
      <c r="H27" s="664"/>
      <c r="I27" s="665"/>
      <c r="J27" s="4"/>
      <c r="K27" s="4"/>
    </row>
    <row r="28" spans="1:11" x14ac:dyDescent="0.25">
      <c r="A28" s="5"/>
      <c r="B28" s="669" t="s">
        <v>853</v>
      </c>
      <c r="C28" s="664"/>
      <c r="D28" s="664"/>
      <c r="E28" s="664"/>
      <c r="F28" s="664"/>
      <c r="G28" s="664"/>
      <c r="H28" s="664"/>
      <c r="I28" s="665"/>
      <c r="J28" s="5"/>
      <c r="K28" s="5"/>
    </row>
    <row r="29" spans="1:11" x14ac:dyDescent="0.25">
      <c r="A29" s="5"/>
      <c r="B29" s="669" t="s">
        <v>854</v>
      </c>
      <c r="C29" s="664"/>
      <c r="D29" s="664"/>
      <c r="E29" s="664"/>
      <c r="F29" s="664"/>
      <c r="G29" s="664"/>
      <c r="H29" s="664"/>
      <c r="I29" s="665"/>
      <c r="J29" s="5"/>
      <c r="K29" s="5"/>
    </row>
    <row r="30" spans="1:11" x14ac:dyDescent="0.25">
      <c r="A30" s="5"/>
      <c r="B30" s="670" t="s">
        <v>855</v>
      </c>
      <c r="C30" s="666"/>
      <c r="D30" s="666"/>
      <c r="E30" s="666"/>
      <c r="F30" s="666"/>
      <c r="G30" s="666"/>
      <c r="H30" s="666"/>
      <c r="I30" s="667"/>
      <c r="J30" s="5"/>
      <c r="K30" s="5"/>
    </row>
    <row r="31" spans="1:11" ht="19.5" customHeight="1" x14ac:dyDescent="0.25">
      <c r="A31" s="5"/>
      <c r="B31" s="4"/>
      <c r="C31" s="4"/>
      <c r="D31" s="4"/>
      <c r="E31" s="4"/>
      <c r="F31" s="5"/>
      <c r="G31" s="5"/>
      <c r="H31" s="5"/>
      <c r="I31" s="5"/>
      <c r="J31" s="5"/>
      <c r="K31" s="5"/>
    </row>
    <row r="32" spans="1:11" ht="18" customHeight="1" x14ac:dyDescent="0.25">
      <c r="A32" s="1799" t="s">
        <v>26</v>
      </c>
      <c r="B32" s="1799"/>
      <c r="C32" s="1799"/>
      <c r="D32" s="1799"/>
      <c r="E32" s="1799"/>
      <c r="F32" s="1799"/>
      <c r="G32" s="1799"/>
      <c r="H32" s="1799"/>
      <c r="I32" s="1799"/>
      <c r="J32" s="1799"/>
      <c r="K32" s="1799"/>
    </row>
    <row r="33" spans="1:19" x14ac:dyDescent="0.25">
      <c r="A33" s="5"/>
      <c r="B33" s="322"/>
      <c r="C33" s="4"/>
      <c r="D33" s="4"/>
      <c r="E33" s="4"/>
      <c r="F33" s="5"/>
      <c r="G33" s="5"/>
      <c r="H33" s="5"/>
      <c r="I33" s="5"/>
      <c r="J33" s="5"/>
      <c r="K33" s="5"/>
    </row>
    <row r="34" spans="1:19" x14ac:dyDescent="0.25">
      <c r="A34" s="5"/>
      <c r="B34" s="836" t="s">
        <v>1569</v>
      </c>
      <c r="C34" s="4"/>
      <c r="D34" s="4"/>
      <c r="E34" s="4"/>
      <c r="F34" s="5"/>
      <c r="G34" s="5"/>
      <c r="H34" s="5"/>
      <c r="I34" s="5"/>
      <c r="J34" s="5"/>
      <c r="K34" s="5"/>
    </row>
    <row r="35" spans="1:19" ht="10.5" customHeight="1" x14ac:dyDescent="0.25">
      <c r="A35" s="5"/>
      <c r="B35" s="322"/>
      <c r="C35" s="4"/>
      <c r="D35" s="4"/>
      <c r="E35" s="4"/>
      <c r="F35" s="5"/>
      <c r="G35" s="5"/>
      <c r="H35" s="5"/>
      <c r="I35" s="5"/>
      <c r="J35" s="5"/>
      <c r="K35" s="5"/>
    </row>
    <row r="36" spans="1:19" x14ac:dyDescent="0.25">
      <c r="A36" s="5"/>
      <c r="B36" s="836" t="s">
        <v>1118</v>
      </c>
      <c r="C36" s="4"/>
      <c r="D36" s="4"/>
      <c r="E36" s="4"/>
      <c r="F36" s="5"/>
      <c r="G36" s="5"/>
      <c r="H36" s="5"/>
      <c r="I36" s="5"/>
      <c r="J36" s="5"/>
      <c r="K36" s="5"/>
    </row>
    <row r="37" spans="1:19" x14ac:dyDescent="0.25">
      <c r="A37" s="4"/>
      <c r="B37" s="836" t="s">
        <v>1144</v>
      </c>
      <c r="C37" s="4"/>
      <c r="D37" s="4"/>
      <c r="E37" s="4"/>
      <c r="F37" s="4"/>
      <c r="G37" s="4"/>
      <c r="H37" s="4"/>
      <c r="I37" s="4"/>
      <c r="J37" s="4"/>
      <c r="K37" s="4"/>
    </row>
    <row r="38" spans="1:19" x14ac:dyDescent="0.25">
      <c r="A38" s="4"/>
      <c r="B38" s="838" t="s">
        <v>1119</v>
      </c>
      <c r="C38" s="4"/>
      <c r="D38" s="4"/>
      <c r="E38" s="4"/>
      <c r="F38" s="4"/>
      <c r="G38" s="4"/>
      <c r="H38" s="4"/>
      <c r="I38" s="4"/>
      <c r="J38" s="4"/>
      <c r="K38" s="4"/>
    </row>
    <row r="39" spans="1:19" x14ac:dyDescent="0.25">
      <c r="A39" s="4"/>
      <c r="B39" s="838"/>
      <c r="C39" s="4"/>
      <c r="D39" s="4"/>
      <c r="E39" s="4"/>
      <c r="F39" s="4"/>
      <c r="G39" s="4"/>
      <c r="H39" s="4"/>
      <c r="I39" s="4"/>
      <c r="J39" s="4"/>
      <c r="K39" s="4"/>
    </row>
    <row r="40" spans="1:19" x14ac:dyDescent="0.25">
      <c r="A40" s="4"/>
      <c r="B40" s="717" t="s">
        <v>1572</v>
      </c>
      <c r="C40" s="4"/>
      <c r="D40" s="4"/>
      <c r="E40" s="4"/>
      <c r="F40" s="4"/>
      <c r="G40" s="4"/>
      <c r="H40" s="4"/>
      <c r="I40" s="4"/>
      <c r="J40" s="4"/>
      <c r="K40" s="4"/>
    </row>
    <row r="41" spans="1:19" ht="11.25" customHeight="1" x14ac:dyDescent="0.25">
      <c r="A41" s="4"/>
      <c r="B41" s="476"/>
      <c r="C41" s="4"/>
      <c r="D41" s="4"/>
      <c r="E41" s="4"/>
      <c r="F41" s="4"/>
      <c r="G41" s="4"/>
      <c r="H41" s="4"/>
      <c r="I41" s="4"/>
      <c r="J41" s="4"/>
      <c r="K41" s="4"/>
    </row>
    <row r="42" spans="1:19" ht="19.5" customHeight="1" x14ac:dyDescent="0.25">
      <c r="A42" s="4"/>
      <c r="B42" s="474" t="s">
        <v>1117</v>
      </c>
      <c r="C42" s="475" t="s">
        <v>43</v>
      </c>
      <c r="D42" s="1804" t="s">
        <v>722</v>
      </c>
      <c r="E42" s="1804"/>
      <c r="F42" s="1804" t="s">
        <v>33</v>
      </c>
      <c r="G42" s="1805"/>
      <c r="H42" s="4"/>
      <c r="I42" s="4"/>
      <c r="J42" s="4"/>
      <c r="K42" s="4"/>
    </row>
    <row r="43" spans="1:19" ht="15.75" customHeight="1" x14ac:dyDescent="0.25">
      <c r="A43" s="4"/>
      <c r="B43" s="578"/>
      <c r="C43" s="571"/>
      <c r="D43" s="1796" t="s">
        <v>129</v>
      </c>
      <c r="E43" s="1797"/>
      <c r="F43" s="1798"/>
      <c r="G43" s="1798"/>
      <c r="H43" s="4"/>
      <c r="I43" s="4"/>
      <c r="J43" s="4"/>
      <c r="K43" s="4"/>
      <c r="L43" t="s">
        <v>129</v>
      </c>
      <c r="M43" t="s">
        <v>1565</v>
      </c>
      <c r="N43" t="s">
        <v>1564</v>
      </c>
      <c r="O43" t="s">
        <v>1566</v>
      </c>
      <c r="P43" t="s">
        <v>1567</v>
      </c>
      <c r="Q43" t="s">
        <v>1574</v>
      </c>
      <c r="R43" t="s">
        <v>1563</v>
      </c>
      <c r="S43" t="s">
        <v>9</v>
      </c>
    </row>
    <row r="44" spans="1:19" ht="15.75" customHeight="1" x14ac:dyDescent="0.25">
      <c r="A44" s="4"/>
      <c r="B44" s="578"/>
      <c r="C44" s="570"/>
      <c r="D44" s="1796" t="s">
        <v>129</v>
      </c>
      <c r="E44" s="1797"/>
      <c r="F44" s="1798"/>
      <c r="G44" s="1798"/>
      <c r="H44" s="4"/>
      <c r="I44" s="4"/>
      <c r="J44" s="4"/>
      <c r="K44" s="4"/>
    </row>
    <row r="45" spans="1:19" ht="15.75" customHeight="1" x14ac:dyDescent="0.25">
      <c r="A45" s="4"/>
      <c r="B45" s="578"/>
      <c r="C45" s="570"/>
      <c r="D45" s="1796" t="s">
        <v>129</v>
      </c>
      <c r="E45" s="1797"/>
      <c r="F45" s="1798"/>
      <c r="G45" s="1798"/>
      <c r="H45" s="4"/>
      <c r="I45" s="4"/>
      <c r="J45" s="4"/>
      <c r="K45" s="4"/>
    </row>
    <row r="46" spans="1:19" ht="15.75" customHeight="1" x14ac:dyDescent="0.25">
      <c r="A46" s="4"/>
      <c r="B46" s="578"/>
      <c r="C46" s="570"/>
      <c r="D46" s="1796" t="s">
        <v>129</v>
      </c>
      <c r="E46" s="1797"/>
      <c r="F46" s="1798"/>
      <c r="G46" s="1798"/>
      <c r="H46" s="4"/>
      <c r="I46" s="4"/>
      <c r="J46" s="4"/>
      <c r="K46" s="4"/>
    </row>
    <row r="47" spans="1:19" ht="15.75" customHeight="1" x14ac:dyDescent="0.25">
      <c r="A47" s="4"/>
      <c r="B47" s="578"/>
      <c r="C47" s="570"/>
      <c r="D47" s="1796" t="s">
        <v>129</v>
      </c>
      <c r="E47" s="1797"/>
      <c r="F47" s="1798"/>
      <c r="G47" s="1798"/>
      <c r="H47" s="4"/>
      <c r="I47" s="4"/>
      <c r="J47" s="4"/>
      <c r="K47" s="4"/>
    </row>
    <row r="48" spans="1:19" ht="15.75" customHeight="1" x14ac:dyDescent="0.25">
      <c r="A48" s="4"/>
      <c r="B48" s="578"/>
      <c r="C48" s="570"/>
      <c r="D48" s="1796" t="s">
        <v>129</v>
      </c>
      <c r="E48" s="1797"/>
      <c r="F48" s="1798"/>
      <c r="G48" s="1798"/>
      <c r="H48" s="4"/>
      <c r="I48" s="4"/>
      <c r="J48" s="4"/>
      <c r="K48" s="4"/>
    </row>
    <row r="49" spans="1:11" ht="15.75" customHeight="1" x14ac:dyDescent="0.25">
      <c r="A49" s="4"/>
      <c r="B49" s="578"/>
      <c r="C49" s="570"/>
      <c r="D49" s="1796" t="s">
        <v>129</v>
      </c>
      <c r="E49" s="1797"/>
      <c r="F49" s="1798"/>
      <c r="G49" s="1798"/>
      <c r="H49" s="4"/>
      <c r="I49" s="4"/>
      <c r="J49" s="4"/>
      <c r="K49" s="4"/>
    </row>
    <row r="50" spans="1:11" ht="15.75" customHeight="1" x14ac:dyDescent="0.25">
      <c r="A50" s="4"/>
      <c r="B50" s="578"/>
      <c r="C50" s="570"/>
      <c r="D50" s="1796" t="s">
        <v>129</v>
      </c>
      <c r="E50" s="1797"/>
      <c r="F50" s="1798"/>
      <c r="G50" s="1798"/>
      <c r="H50" s="4"/>
      <c r="I50" s="4"/>
      <c r="J50" s="4"/>
      <c r="K50" s="4"/>
    </row>
    <row r="51" spans="1:11" ht="15.75" customHeight="1" x14ac:dyDescent="0.25">
      <c r="A51" s="4"/>
      <c r="B51" s="578"/>
      <c r="C51" s="570"/>
      <c r="D51" s="1796" t="s">
        <v>129</v>
      </c>
      <c r="E51" s="1797"/>
      <c r="F51" s="1798"/>
      <c r="G51" s="1798"/>
      <c r="H51" s="4"/>
      <c r="I51" s="4"/>
      <c r="J51" s="4"/>
      <c r="K51" s="4"/>
    </row>
    <row r="52" spans="1:11" ht="15.75" customHeight="1" x14ac:dyDescent="0.25">
      <c r="A52" s="4"/>
      <c r="B52" s="578"/>
      <c r="C52" s="570"/>
      <c r="D52" s="1796" t="s">
        <v>129</v>
      </c>
      <c r="E52" s="1797"/>
      <c r="F52" s="1798"/>
      <c r="G52" s="1798"/>
      <c r="H52" s="4"/>
      <c r="I52" s="4"/>
      <c r="J52" s="4"/>
      <c r="K52" s="4"/>
    </row>
    <row r="53" spans="1:11" ht="16.5" customHeight="1" x14ac:dyDescent="0.25">
      <c r="A53" s="4"/>
      <c r="B53" s="4"/>
      <c r="C53" s="4"/>
      <c r="D53" s="4"/>
      <c r="E53" s="4"/>
      <c r="F53" s="4"/>
      <c r="G53" s="4"/>
      <c r="H53" s="4"/>
      <c r="I53" s="4"/>
      <c r="J53" s="4"/>
      <c r="K53" s="4"/>
    </row>
    <row r="54" spans="1:11" ht="19.5" customHeight="1" x14ac:dyDescent="0.25">
      <c r="A54" s="4"/>
      <c r="B54" s="1813" t="s">
        <v>1570</v>
      </c>
      <c r="C54" s="1813"/>
      <c r="D54" s="1813"/>
      <c r="E54" s="1197">
        <f ca="1">E55-SUMIF(D43:E52,"Select",C43:C52)-SUMIF(D43:E52,"No",C43:C52)</f>
        <v>0</v>
      </c>
      <c r="F54" s="4"/>
      <c r="G54" s="4"/>
      <c r="H54" s="4"/>
      <c r="I54" s="4"/>
      <c r="J54" s="4"/>
      <c r="K54" s="4"/>
    </row>
    <row r="55" spans="1:11" ht="19.5" customHeight="1" x14ac:dyDescent="0.25">
      <c r="A55" s="4"/>
      <c r="B55" s="1813" t="s">
        <v>1571</v>
      </c>
      <c r="C55" s="1813"/>
      <c r="D55" s="1813"/>
      <c r="E55" s="1197">
        <f>SUM(C43:C52)</f>
        <v>0</v>
      </c>
      <c r="F55" s="4"/>
      <c r="G55" s="4"/>
      <c r="H55" s="4"/>
      <c r="I55" s="4"/>
      <c r="J55" s="4"/>
      <c r="K55" s="4"/>
    </row>
    <row r="56" spans="1:11" ht="19.5" customHeight="1" x14ac:dyDescent="0.25">
      <c r="A56" s="4"/>
      <c r="B56" s="1813" t="s">
        <v>1957</v>
      </c>
      <c r="C56" s="1813"/>
      <c r="D56" s="1813"/>
      <c r="E56" s="1198">
        <f ca="1">IFERROR((E54/E55),0)</f>
        <v>0</v>
      </c>
      <c r="F56" s="4"/>
      <c r="G56" s="4"/>
      <c r="H56" s="4"/>
      <c r="I56" s="4"/>
      <c r="J56" s="4"/>
      <c r="K56" s="4"/>
    </row>
    <row r="57" spans="1:11" ht="19.5" customHeight="1" x14ac:dyDescent="0.25">
      <c r="A57" s="4"/>
      <c r="B57" s="4"/>
      <c r="C57" s="4"/>
      <c r="D57" s="4"/>
      <c r="E57" s="4"/>
      <c r="F57" s="4"/>
      <c r="G57" s="4"/>
      <c r="H57" s="4"/>
      <c r="I57" s="4"/>
      <c r="J57" s="4"/>
      <c r="K57" s="4"/>
    </row>
    <row r="58" spans="1:11" ht="18" customHeight="1" x14ac:dyDescent="0.25">
      <c r="A58" s="1799" t="s">
        <v>200</v>
      </c>
      <c r="B58" s="1799"/>
      <c r="C58" s="1799"/>
      <c r="D58" s="1799"/>
      <c r="E58" s="1799"/>
      <c r="F58" s="1799"/>
      <c r="G58" s="1799"/>
      <c r="H58" s="1799"/>
      <c r="I58" s="1799"/>
      <c r="J58" s="1799"/>
      <c r="K58" s="1799"/>
    </row>
    <row r="59" spans="1:11" x14ac:dyDescent="0.25">
      <c r="A59" s="4"/>
      <c r="B59" s="4"/>
      <c r="C59" s="4"/>
      <c r="D59" s="4"/>
      <c r="E59" s="4"/>
      <c r="F59" s="4"/>
      <c r="G59" s="4"/>
      <c r="H59" s="4"/>
      <c r="I59" s="4"/>
      <c r="J59" s="4"/>
      <c r="K59" s="4"/>
    </row>
    <row r="60" spans="1:11" ht="18" customHeight="1" x14ac:dyDescent="0.25">
      <c r="A60" s="4"/>
      <c r="B60" s="1811" t="s">
        <v>2103</v>
      </c>
      <c r="C60" s="1812"/>
      <c r="D60" s="1812"/>
      <c r="E60" s="1812"/>
      <c r="F60" s="1812"/>
      <c r="G60" s="1079" t="s">
        <v>2101</v>
      </c>
      <c r="H60" s="1804" t="s">
        <v>2102</v>
      </c>
      <c r="I60" s="1805"/>
      <c r="J60" s="4"/>
      <c r="K60" s="4"/>
    </row>
    <row r="61" spans="1:11" ht="24" customHeight="1" x14ac:dyDescent="0.25">
      <c r="A61" s="4"/>
      <c r="B61" s="1436" t="s">
        <v>1860</v>
      </c>
      <c r="C61" s="1437"/>
      <c r="D61" s="1437"/>
      <c r="E61" s="1437"/>
      <c r="F61" s="1438"/>
      <c r="G61" s="518" t="s">
        <v>129</v>
      </c>
      <c r="H61" s="1441"/>
      <c r="I61" s="1442"/>
      <c r="J61" s="4"/>
      <c r="K61" s="4"/>
    </row>
    <row r="62" spans="1:11" ht="24" customHeight="1" x14ac:dyDescent="0.25">
      <c r="A62" s="4"/>
      <c r="B62" s="1436" t="s">
        <v>1861</v>
      </c>
      <c r="C62" s="1437"/>
      <c r="D62" s="1437"/>
      <c r="E62" s="1437"/>
      <c r="F62" s="1438"/>
      <c r="G62" s="518" t="s">
        <v>129</v>
      </c>
      <c r="H62" s="1441"/>
      <c r="I62" s="1442"/>
      <c r="J62" s="4"/>
      <c r="K62" s="4"/>
    </row>
    <row r="63" spans="1:11" ht="19.5" customHeight="1" x14ac:dyDescent="0.25">
      <c r="A63" s="4"/>
      <c r="B63" s="4"/>
      <c r="C63" s="4"/>
      <c r="D63" s="4"/>
      <c r="E63" s="4"/>
      <c r="F63" s="4"/>
      <c r="G63" s="4"/>
      <c r="H63" s="4"/>
      <c r="I63" s="4"/>
      <c r="J63" s="4"/>
      <c r="K63" s="4"/>
    </row>
    <row r="64" spans="1:11" ht="18" customHeight="1" x14ac:dyDescent="0.25">
      <c r="A64" s="1799" t="s">
        <v>25</v>
      </c>
      <c r="B64" s="1799"/>
      <c r="C64" s="1799"/>
      <c r="D64" s="1799"/>
      <c r="E64" s="1799"/>
      <c r="F64" s="1799"/>
      <c r="G64" s="1799"/>
      <c r="H64" s="1799"/>
      <c r="I64" s="1799"/>
      <c r="J64" s="1799"/>
      <c r="K64" s="1799"/>
    </row>
    <row r="65" spans="1:11" x14ac:dyDescent="0.25">
      <c r="A65" s="4"/>
      <c r="B65" s="4"/>
      <c r="C65" s="4"/>
      <c r="D65" s="4"/>
      <c r="E65" s="4"/>
      <c r="F65" s="4"/>
      <c r="G65" s="4"/>
      <c r="H65" s="4"/>
      <c r="I65" s="4"/>
      <c r="J65" s="4"/>
      <c r="K65" s="4"/>
    </row>
    <row r="66" spans="1:11" ht="18" customHeight="1" x14ac:dyDescent="0.25">
      <c r="A66" s="4"/>
      <c r="B66" s="319" t="s">
        <v>56</v>
      </c>
      <c r="C66" s="1193">
        <f ca="1">IF(E56&gt;=0.8,2,IF(E56&gt;=0.4,1,0))</f>
        <v>0</v>
      </c>
      <c r="D66" s="4"/>
      <c r="E66" s="4"/>
      <c r="F66" s="4"/>
      <c r="G66" s="4"/>
      <c r="H66" s="4"/>
      <c r="I66" s="4"/>
      <c r="J66" s="4"/>
      <c r="K66" s="4"/>
    </row>
    <row r="67" spans="1:11" ht="18" customHeight="1" x14ac:dyDescent="0.25">
      <c r="A67" s="4"/>
      <c r="B67" s="320" t="s">
        <v>521</v>
      </c>
      <c r="C67" s="1193" t="str">
        <f ca="1">IF(AND(COUNTIF(G61:G62,"Submitted")=2,C66&gt;0),"Yes","No")</f>
        <v>No</v>
      </c>
      <c r="D67" s="4"/>
      <c r="E67" s="4"/>
      <c r="F67" s="4"/>
      <c r="G67" s="4"/>
      <c r="H67" s="4"/>
      <c r="I67" s="4"/>
      <c r="J67" s="4"/>
      <c r="K67" s="4"/>
    </row>
    <row r="68" spans="1:11" ht="18.75" customHeight="1" x14ac:dyDescent="0.25">
      <c r="A68" s="4"/>
      <c r="B68" s="4"/>
      <c r="C68" s="4"/>
      <c r="D68" s="4"/>
      <c r="E68" s="4"/>
      <c r="F68" s="4"/>
      <c r="G68" s="4"/>
      <c r="H68" s="4"/>
      <c r="I68" s="4"/>
      <c r="J68" s="4"/>
      <c r="K68" s="4"/>
    </row>
    <row r="69" spans="1:11" ht="14.25" hidden="1" customHeight="1" x14ac:dyDescent="0.25">
      <c r="A69" s="4"/>
      <c r="B69" s="4"/>
      <c r="C69" s="4"/>
      <c r="D69" s="4"/>
      <c r="E69" s="4"/>
      <c r="F69" s="4"/>
      <c r="G69" s="4"/>
      <c r="H69" s="4"/>
      <c r="I69" s="4"/>
      <c r="J69" s="4"/>
      <c r="K69" s="4"/>
    </row>
    <row r="70" spans="1:11" ht="15" hidden="1" customHeight="1" x14ac:dyDescent="0.25"/>
    <row r="71" spans="1:11" ht="15" hidden="1" customHeight="1" x14ac:dyDescent="0.25"/>
    <row r="72" spans="1:11" ht="15" hidden="1" customHeight="1" x14ac:dyDescent="0.25"/>
    <row r="73" spans="1:11" ht="15" hidden="1" customHeight="1" x14ac:dyDescent="0.25"/>
    <row r="74" spans="1:11" ht="15" hidden="1" customHeight="1" x14ac:dyDescent="0.25"/>
    <row r="75" spans="1:11" ht="15" hidden="1" customHeight="1" x14ac:dyDescent="0.25"/>
    <row r="76" spans="1:11" ht="15" hidden="1" customHeight="1" x14ac:dyDescent="0.25"/>
    <row r="77" spans="1:11" ht="15" hidden="1" customHeight="1" x14ac:dyDescent="0.25"/>
    <row r="78" spans="1:11" ht="15" hidden="1" customHeight="1" x14ac:dyDescent="0.25"/>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sheetData>
  <sheetProtection password="DAFC" sheet="1" objects="1" scenarios="1"/>
  <mergeCells count="41">
    <mergeCell ref="D50:E50"/>
    <mergeCell ref="B60:F60"/>
    <mergeCell ref="D48:E48"/>
    <mergeCell ref="F48:G48"/>
    <mergeCell ref="F45:G45"/>
    <mergeCell ref="D46:E46"/>
    <mergeCell ref="F46:G46"/>
    <mergeCell ref="D47:E47"/>
    <mergeCell ref="F47:G47"/>
    <mergeCell ref="D43:E43"/>
    <mergeCell ref="D44:E44"/>
    <mergeCell ref="D45:E45"/>
    <mergeCell ref="A64:K64"/>
    <mergeCell ref="F52:G52"/>
    <mergeCell ref="F49:G49"/>
    <mergeCell ref="D52:E52"/>
    <mergeCell ref="B54:D54"/>
    <mergeCell ref="B55:D55"/>
    <mergeCell ref="B56:D56"/>
    <mergeCell ref="F51:G51"/>
    <mergeCell ref="D51:E51"/>
    <mergeCell ref="D49:E49"/>
    <mergeCell ref="B61:F61"/>
    <mergeCell ref="B62:F62"/>
    <mergeCell ref="F50:G50"/>
    <mergeCell ref="H60:I60"/>
    <mergeCell ref="H61:I61"/>
    <mergeCell ref="H62:I62"/>
    <mergeCell ref="A1:K1"/>
    <mergeCell ref="A14:K14"/>
    <mergeCell ref="A9:K9"/>
    <mergeCell ref="A32:K32"/>
    <mergeCell ref="A58:K58"/>
    <mergeCell ref="H2:I4"/>
    <mergeCell ref="A5:K7"/>
    <mergeCell ref="B11:E11"/>
    <mergeCell ref="B12:E12"/>
    <mergeCell ref="F42:G42"/>
    <mergeCell ref="F43:G43"/>
    <mergeCell ref="F44:G44"/>
    <mergeCell ref="D42:E42"/>
  </mergeCells>
  <conditionalFormatting sqref="F12 B12">
    <cfRule type="expression" dxfId="157" priority="11">
      <formula>OR(#REF!="No",#REF!="Không")</formula>
    </cfRule>
  </conditionalFormatting>
  <conditionalFormatting sqref="F12 B12">
    <cfRule type="expression" dxfId="156" priority="12">
      <formula>OR($D12="No",$D12="Không")</formula>
    </cfRule>
    <cfRule type="expression" dxfId="155" priority="13">
      <formula>OR(#REF!="No",#REF!="Không")</formula>
    </cfRule>
  </conditionalFormatting>
  <conditionalFormatting sqref="G61:G62">
    <cfRule type="expression" dxfId="154" priority="4">
      <formula>#REF!&lt;&gt;"Prescriptive Path"</formula>
    </cfRule>
  </conditionalFormatting>
  <conditionalFormatting sqref="H60:I60">
    <cfRule type="expression" dxfId="153" priority="3">
      <formula>#REF!&lt;&gt;"Prescriptive Path"</formula>
    </cfRule>
  </conditionalFormatting>
  <conditionalFormatting sqref="I61">
    <cfRule type="expression" dxfId="152" priority="2">
      <formula>#REF!&lt;&gt;"Prescriptive Path"</formula>
    </cfRule>
  </conditionalFormatting>
  <conditionalFormatting sqref="I62">
    <cfRule type="expression" dxfId="151" priority="1">
      <formula>#REF!&lt;&gt;"Prescriptive Path"</formula>
    </cfRule>
  </conditionalFormatting>
  <dataValidations count="5">
    <dataValidation allowBlank="1" showInputMessage="1" showErrorMessage="1" prompt="Provide more details on the flooring material used" sqref="F42:G42"/>
    <dataValidation type="list" allowBlank="1" showInputMessage="1" showErrorMessage="1" sqref="D43:E52">
      <formula1>$L$43:$S$43</formula1>
    </dataValidation>
    <dataValidation type="list" allowBlank="1" showInputMessage="1" showErrorMessage="1" sqref="G61:G62">
      <formula1>"Select,Submitted,Not submitted"</formula1>
    </dataValidation>
    <dataValidation allowBlank="1" showInputMessage="1" showErrorMessage="1" prompt="Enter the name of the flooring item" sqref="B43:B52"/>
    <dataValidation allowBlank="1" showInputMessage="1" showErrorMessage="1" prompt="Provide more details on the sustainable feature of the flooring item" sqref="F43:G52"/>
  </dataValidations>
  <hyperlinks>
    <hyperlink ref="K2" location="'M-5 Roofing materials'!D3" tooltip="M-5" display="M-5"/>
    <hyperlink ref="K3" location="'M-6 Furniture'!D3" tooltip="M-6" display="M-6"/>
    <hyperlink ref="J2" location="'M-1 Structure Materials'!D3" tooltip="M-1" display="M-1"/>
    <hyperlink ref="J4" location="'M-3 Windows and doors'!D3" tooltip="M-3" display="M-3"/>
    <hyperlink ref="J3" location="'M-2 Non-structural walls'!D3" tooltip="M-2" display="M-2"/>
  </hyperlinks>
  <pageMargins left="0.7" right="0.7" top="0.75" bottom="0.75" header="0.3" footer="0.3"/>
  <pageSetup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5F4970"/>
  </sheetPr>
  <dimension ref="A1:R151"/>
  <sheetViews>
    <sheetView showRowColHeaders="0" workbookViewId="0">
      <pane ySplit="8" topLeftCell="A12" activePane="bottomLeft" state="frozen"/>
      <selection pane="bottomLeft" activeCell="G12" sqref="G12"/>
    </sheetView>
  </sheetViews>
  <sheetFormatPr defaultColWidth="0" defaultRowHeight="15" customHeight="1" zeroHeight="1" x14ac:dyDescent="0.25"/>
  <cols>
    <col min="1" max="1" width="3.7109375" customWidth="1"/>
    <col min="2" max="2" width="23.140625" customWidth="1"/>
    <col min="3" max="3" width="21.5703125" customWidth="1"/>
    <col min="4" max="5" width="18.7109375" customWidth="1"/>
    <col min="6" max="8" width="17.7109375" customWidth="1"/>
    <col min="9" max="9" width="10.7109375" customWidth="1"/>
    <col min="10" max="11" width="8.7109375" customWidth="1"/>
    <col min="12" max="16384" width="9.140625" hidden="1"/>
  </cols>
  <sheetData>
    <row r="1" spans="1:13" ht="25.5" customHeight="1" x14ac:dyDescent="0.25">
      <c r="A1" s="1795" t="s">
        <v>1955</v>
      </c>
      <c r="B1" s="1795"/>
      <c r="C1" s="1795"/>
      <c r="D1" s="1795"/>
      <c r="E1" s="1795"/>
      <c r="F1" s="1795"/>
      <c r="G1" s="1795"/>
      <c r="H1" s="1795"/>
      <c r="I1" s="1795"/>
      <c r="J1" s="1795"/>
      <c r="K1" s="1795"/>
    </row>
    <row r="2" spans="1:13" ht="15" customHeight="1" x14ac:dyDescent="0.25">
      <c r="A2" s="4"/>
      <c r="B2" s="4"/>
      <c r="C2" s="4"/>
      <c r="D2" s="4"/>
      <c r="E2" s="4"/>
      <c r="F2" s="4"/>
      <c r="G2" s="5"/>
      <c r="H2" s="1426" t="s">
        <v>2107</v>
      </c>
      <c r="I2" s="1426"/>
      <c r="J2" s="833" t="s">
        <v>59</v>
      </c>
      <c r="K2" s="833" t="s">
        <v>71</v>
      </c>
    </row>
    <row r="3" spans="1:13" ht="15" customHeight="1" x14ac:dyDescent="0.25">
      <c r="A3" s="4"/>
      <c r="B3" s="4"/>
      <c r="C3" s="4"/>
      <c r="D3" s="4"/>
      <c r="E3" s="4"/>
      <c r="F3" s="4"/>
      <c r="G3" s="5"/>
      <c r="H3" s="1426"/>
      <c r="I3" s="1426"/>
      <c r="J3" s="833" t="s">
        <v>63</v>
      </c>
      <c r="K3" s="833" t="s">
        <v>641</v>
      </c>
    </row>
    <row r="4" spans="1:13" ht="15" customHeight="1" x14ac:dyDescent="0.25">
      <c r="A4" s="4"/>
      <c r="B4" s="4"/>
      <c r="C4" s="4"/>
      <c r="D4" s="4"/>
      <c r="E4" s="4"/>
      <c r="F4" s="4"/>
      <c r="G4" s="5"/>
      <c r="H4" s="1427"/>
      <c r="I4" s="1427"/>
      <c r="J4" s="833" t="s">
        <v>67</v>
      </c>
      <c r="K4" s="833"/>
    </row>
    <row r="5" spans="1:13" s="42" customFormat="1" ht="18" customHeight="1" x14ac:dyDescent="0.25">
      <c r="A5" s="1417" t="s">
        <v>2415</v>
      </c>
      <c r="B5" s="1418"/>
      <c r="C5" s="1418"/>
      <c r="D5" s="1418"/>
      <c r="E5" s="1418"/>
      <c r="F5" s="1418"/>
      <c r="G5" s="1418"/>
      <c r="H5" s="1418"/>
      <c r="I5" s="1418"/>
      <c r="J5" s="1418"/>
      <c r="K5" s="1418"/>
      <c r="L5"/>
      <c r="M5"/>
    </row>
    <row r="6" spans="1:13" s="42" customFormat="1" ht="18" customHeight="1" x14ac:dyDescent="0.25">
      <c r="A6" s="1420"/>
      <c r="B6" s="1421"/>
      <c r="C6" s="1421"/>
      <c r="D6" s="1421"/>
      <c r="E6" s="1421"/>
      <c r="F6" s="1421"/>
      <c r="G6" s="1421"/>
      <c r="H6" s="1421"/>
      <c r="I6" s="1421"/>
      <c r="J6" s="1421"/>
      <c r="K6" s="1421"/>
      <c r="L6"/>
      <c r="M6"/>
    </row>
    <row r="7" spans="1:13" s="42" customFormat="1" ht="18" customHeight="1" x14ac:dyDescent="0.25">
      <c r="A7" s="1423"/>
      <c r="B7" s="1424"/>
      <c r="C7" s="1424"/>
      <c r="D7" s="1424"/>
      <c r="E7" s="1424"/>
      <c r="F7" s="1424"/>
      <c r="G7" s="1424"/>
      <c r="H7" s="1424"/>
      <c r="I7" s="1424"/>
      <c r="J7" s="1424"/>
      <c r="K7" s="1424"/>
      <c r="L7"/>
      <c r="M7"/>
    </row>
    <row r="8" spans="1:13" s="42" customFormat="1" ht="10.5" customHeight="1" x14ac:dyDescent="0.25">
      <c r="A8" s="53" t="s">
        <v>784</v>
      </c>
      <c r="B8" s="54"/>
      <c r="C8" s="54"/>
      <c r="D8" s="54"/>
      <c r="E8" s="54"/>
      <c r="F8" s="53"/>
      <c r="G8" s="53"/>
      <c r="H8" s="53"/>
      <c r="I8" s="53"/>
      <c r="J8" s="53"/>
      <c r="K8" s="53"/>
      <c r="L8"/>
      <c r="M8"/>
    </row>
    <row r="9" spans="1:13" ht="18" customHeight="1" x14ac:dyDescent="0.25">
      <c r="A9" s="1799" t="s">
        <v>191</v>
      </c>
      <c r="B9" s="1799"/>
      <c r="C9" s="1799"/>
      <c r="D9" s="1799"/>
      <c r="E9" s="1799"/>
      <c r="F9" s="1799"/>
      <c r="G9" s="1799"/>
      <c r="H9" s="1799"/>
      <c r="I9" s="1799"/>
      <c r="J9" s="1799"/>
      <c r="K9" s="1799"/>
    </row>
    <row r="10" spans="1:13" ht="16.5" customHeight="1" x14ac:dyDescent="0.25">
      <c r="A10" s="5"/>
      <c r="B10" s="4"/>
      <c r="C10" s="4"/>
      <c r="D10" s="4"/>
      <c r="E10" s="4"/>
      <c r="F10" s="5"/>
      <c r="G10" s="5"/>
      <c r="H10" s="5"/>
      <c r="I10" s="5"/>
      <c r="J10" s="5"/>
      <c r="K10" s="5"/>
    </row>
    <row r="11" spans="1:13" ht="19.5" customHeight="1" x14ac:dyDescent="0.25">
      <c r="A11" s="5"/>
      <c r="B11" s="1802" t="s">
        <v>192</v>
      </c>
      <c r="C11" s="1803"/>
      <c r="D11" s="1803"/>
      <c r="E11" s="1803"/>
      <c r="F11" s="480" t="s">
        <v>157</v>
      </c>
      <c r="G11" s="480" t="s">
        <v>56</v>
      </c>
      <c r="H11" s="317" t="s">
        <v>521</v>
      </c>
      <c r="I11" s="5"/>
      <c r="J11" s="5"/>
      <c r="K11" s="5"/>
    </row>
    <row r="12" spans="1:13" ht="30" customHeight="1" x14ac:dyDescent="0.25">
      <c r="A12" s="5"/>
      <c r="B12" s="1474" t="s">
        <v>1960</v>
      </c>
      <c r="C12" s="1475"/>
      <c r="D12" s="1475"/>
      <c r="E12" s="1476"/>
      <c r="F12" s="40">
        <v>2</v>
      </c>
      <c r="G12" s="324">
        <f ca="1">C62</f>
        <v>0</v>
      </c>
      <c r="H12" s="324" t="str">
        <f ca="1">C63</f>
        <v>No</v>
      </c>
      <c r="I12" s="5"/>
      <c r="J12" s="5"/>
      <c r="K12" s="5"/>
    </row>
    <row r="13" spans="1:13" ht="16.5" customHeight="1" x14ac:dyDescent="0.25">
      <c r="A13" s="5"/>
      <c r="B13" s="4"/>
      <c r="C13" s="4"/>
      <c r="D13" s="4"/>
      <c r="E13" s="4"/>
      <c r="F13" s="5"/>
      <c r="G13" s="5"/>
      <c r="H13" s="5"/>
      <c r="I13" s="5"/>
      <c r="J13" s="5"/>
      <c r="K13" s="5"/>
    </row>
    <row r="14" spans="1:13" ht="18" customHeight="1" x14ac:dyDescent="0.25">
      <c r="A14" s="1799" t="s">
        <v>265</v>
      </c>
      <c r="B14" s="1799"/>
      <c r="C14" s="1799"/>
      <c r="D14" s="1799"/>
      <c r="E14" s="1799"/>
      <c r="F14" s="1799"/>
      <c r="G14" s="1799"/>
      <c r="H14" s="1799"/>
      <c r="I14" s="1799"/>
      <c r="J14" s="1799"/>
      <c r="K14" s="1799"/>
    </row>
    <row r="15" spans="1:13" x14ac:dyDescent="0.25">
      <c r="A15" s="4"/>
      <c r="B15" s="4"/>
      <c r="C15" s="4"/>
      <c r="D15" s="4"/>
      <c r="E15" s="4"/>
      <c r="F15" s="4"/>
      <c r="G15" s="4"/>
      <c r="H15" s="4"/>
      <c r="I15" s="4"/>
      <c r="J15" s="4"/>
      <c r="K15" s="4"/>
    </row>
    <row r="16" spans="1:13" x14ac:dyDescent="0.25">
      <c r="A16" s="4"/>
      <c r="B16" s="661" t="s">
        <v>1961</v>
      </c>
      <c r="C16" s="4"/>
      <c r="D16" s="4"/>
      <c r="E16" s="4"/>
      <c r="F16" s="4"/>
      <c r="G16" s="4"/>
      <c r="H16" s="4"/>
      <c r="I16" s="4"/>
      <c r="J16" s="4"/>
      <c r="K16" s="4"/>
    </row>
    <row r="17" spans="1:11" x14ac:dyDescent="0.25">
      <c r="A17" s="4"/>
      <c r="B17" s="4"/>
      <c r="C17" s="4"/>
      <c r="D17" s="4"/>
      <c r="E17" s="4"/>
      <c r="F17" s="4"/>
      <c r="G17" s="4"/>
      <c r="H17" s="4"/>
      <c r="I17" s="4"/>
      <c r="J17" s="4"/>
      <c r="K17" s="4"/>
    </row>
    <row r="18" spans="1:11" x14ac:dyDescent="0.25">
      <c r="A18" s="4"/>
      <c r="B18" s="660" t="s">
        <v>1122</v>
      </c>
      <c r="C18" s="4"/>
      <c r="D18" s="4"/>
      <c r="E18" s="4"/>
      <c r="F18" s="4"/>
      <c r="G18" s="4"/>
      <c r="H18" s="4"/>
      <c r="I18" s="4"/>
      <c r="J18" s="4"/>
      <c r="K18" s="4"/>
    </row>
    <row r="19" spans="1:11" x14ac:dyDescent="0.25">
      <c r="A19" s="4"/>
      <c r="B19" s="660" t="s">
        <v>1123</v>
      </c>
      <c r="C19" s="4"/>
      <c r="D19" s="4"/>
      <c r="E19" s="4"/>
      <c r="F19" s="4"/>
      <c r="G19" s="4"/>
      <c r="H19" s="4"/>
      <c r="I19" s="4"/>
      <c r="J19" s="4"/>
      <c r="K19" s="4"/>
    </row>
    <row r="20" spans="1:11" ht="12.75" customHeight="1" x14ac:dyDescent="0.25">
      <c r="A20" s="4"/>
      <c r="B20" s="4"/>
      <c r="C20" s="4"/>
      <c r="D20" s="4"/>
      <c r="E20" s="4"/>
      <c r="F20" s="4"/>
      <c r="G20" s="4"/>
      <c r="H20" s="4"/>
      <c r="I20" s="4"/>
      <c r="J20" s="4"/>
      <c r="K20" s="4"/>
    </row>
    <row r="21" spans="1:11" x14ac:dyDescent="0.25">
      <c r="A21" s="4"/>
      <c r="B21" s="1806" t="s">
        <v>1962</v>
      </c>
      <c r="C21" s="1807"/>
      <c r="D21" s="1807"/>
      <c r="E21" s="1807"/>
      <c r="F21" s="1807"/>
      <c r="G21" s="1807"/>
      <c r="H21" s="1807"/>
      <c r="I21" s="1808"/>
      <c r="J21" s="4"/>
      <c r="K21" s="4"/>
    </row>
    <row r="22" spans="1:11" x14ac:dyDescent="0.25">
      <c r="A22" s="4"/>
      <c r="B22" s="1491" t="s">
        <v>1568</v>
      </c>
      <c r="C22" s="1492"/>
      <c r="D22" s="1492"/>
      <c r="E22" s="1492"/>
      <c r="F22" s="1492"/>
      <c r="G22" s="1492"/>
      <c r="H22" s="1492"/>
      <c r="I22" s="1493"/>
      <c r="J22" s="4"/>
      <c r="K22" s="4"/>
    </row>
    <row r="23" spans="1:11" x14ac:dyDescent="0.25">
      <c r="A23" s="4"/>
      <c r="B23" s="1491" t="s">
        <v>1549</v>
      </c>
      <c r="C23" s="1492"/>
      <c r="D23" s="1492"/>
      <c r="E23" s="1492"/>
      <c r="F23" s="1492"/>
      <c r="G23" s="1492"/>
      <c r="H23" s="1492"/>
      <c r="I23" s="1493"/>
      <c r="J23" s="4"/>
      <c r="K23" s="4"/>
    </row>
    <row r="24" spans="1:11" x14ac:dyDescent="0.25">
      <c r="A24" s="4"/>
      <c r="B24" s="1491" t="s">
        <v>865</v>
      </c>
      <c r="C24" s="1492"/>
      <c r="D24" s="1492"/>
      <c r="E24" s="1492"/>
      <c r="F24" s="1492"/>
      <c r="G24" s="1492"/>
      <c r="H24" s="1492"/>
      <c r="I24" s="1493"/>
      <c r="J24" s="4"/>
      <c r="K24" s="4"/>
    </row>
    <row r="25" spans="1:11" x14ac:dyDescent="0.25">
      <c r="A25" s="4"/>
      <c r="B25" s="1491" t="s">
        <v>851</v>
      </c>
      <c r="C25" s="1492"/>
      <c r="D25" s="1492"/>
      <c r="E25" s="1492"/>
      <c r="F25" s="1492"/>
      <c r="G25" s="1492"/>
      <c r="H25" s="1492"/>
      <c r="I25" s="1493"/>
      <c r="J25" s="4"/>
      <c r="K25" s="4"/>
    </row>
    <row r="26" spans="1:11" x14ac:dyDescent="0.25">
      <c r="A26" s="4"/>
      <c r="B26" s="1498" t="s">
        <v>1129</v>
      </c>
      <c r="C26" s="1499"/>
      <c r="D26" s="1499"/>
      <c r="E26" s="1499"/>
      <c r="F26" s="1499"/>
      <c r="G26" s="1499"/>
      <c r="H26" s="1499"/>
      <c r="I26" s="1500"/>
      <c r="J26" s="4"/>
      <c r="K26" s="4"/>
    </row>
    <row r="27" spans="1:11" ht="19.5" customHeight="1" x14ac:dyDescent="0.25">
      <c r="A27" s="4"/>
      <c r="B27" s="4"/>
      <c r="C27" s="4"/>
      <c r="D27" s="4"/>
      <c r="E27" s="4"/>
      <c r="F27" s="4"/>
      <c r="G27" s="4"/>
      <c r="H27" s="4"/>
      <c r="I27" s="4"/>
      <c r="J27" s="4"/>
      <c r="K27" s="4"/>
    </row>
    <row r="28" spans="1:11" ht="18" customHeight="1" x14ac:dyDescent="0.25">
      <c r="A28" s="1799" t="s">
        <v>26</v>
      </c>
      <c r="B28" s="1799"/>
      <c r="C28" s="1799"/>
      <c r="D28" s="1799"/>
      <c r="E28" s="1799"/>
      <c r="F28" s="1799"/>
      <c r="G28" s="1799"/>
      <c r="H28" s="1799"/>
      <c r="I28" s="1799"/>
      <c r="J28" s="1799"/>
      <c r="K28" s="1799"/>
    </row>
    <row r="29" spans="1:11" x14ac:dyDescent="0.25">
      <c r="A29" s="4"/>
      <c r="B29" s="4"/>
      <c r="C29" s="4"/>
      <c r="D29" s="4"/>
      <c r="E29" s="4"/>
      <c r="F29" s="4"/>
      <c r="G29" s="4"/>
      <c r="H29" s="4"/>
      <c r="I29" s="4"/>
      <c r="J29" s="4"/>
      <c r="K29" s="4"/>
    </row>
    <row r="30" spans="1:11" x14ac:dyDescent="0.25">
      <c r="A30" s="4"/>
      <c r="B30" s="836" t="s">
        <v>1963</v>
      </c>
      <c r="C30" s="4"/>
      <c r="D30" s="4"/>
      <c r="E30" s="4"/>
      <c r="F30" s="4"/>
      <c r="G30" s="4"/>
      <c r="H30" s="4"/>
      <c r="I30" s="4"/>
      <c r="J30" s="4"/>
      <c r="K30" s="4"/>
    </row>
    <row r="31" spans="1:11" ht="18" customHeight="1" x14ac:dyDescent="0.25">
      <c r="A31" s="4"/>
      <c r="B31" s="322"/>
      <c r="C31" s="4"/>
      <c r="D31" s="4"/>
      <c r="E31" s="4"/>
      <c r="F31" s="4"/>
      <c r="G31" s="4"/>
      <c r="H31" s="4"/>
      <c r="I31" s="4"/>
      <c r="J31" s="4"/>
      <c r="K31" s="4"/>
    </row>
    <row r="32" spans="1:11" ht="15.75" customHeight="1" x14ac:dyDescent="0.25">
      <c r="A32" s="4"/>
      <c r="B32" s="836" t="s">
        <v>1964</v>
      </c>
      <c r="C32" s="4"/>
      <c r="D32" s="4"/>
      <c r="E32" s="4"/>
      <c r="F32" s="4"/>
      <c r="G32" s="4"/>
      <c r="H32" s="4"/>
      <c r="I32" s="4"/>
      <c r="J32" s="4"/>
      <c r="K32" s="4"/>
    </row>
    <row r="33" spans="1:18" ht="15.75" customHeight="1" x14ac:dyDescent="0.25">
      <c r="A33" s="4"/>
      <c r="B33" s="836" t="s">
        <v>1965</v>
      </c>
      <c r="C33" s="4"/>
      <c r="D33" s="4"/>
      <c r="E33" s="4"/>
      <c r="F33" s="4"/>
      <c r="G33" s="4"/>
      <c r="H33" s="4"/>
      <c r="I33" s="4"/>
      <c r="J33" s="4"/>
      <c r="K33" s="4"/>
    </row>
    <row r="34" spans="1:18" ht="15.75" customHeight="1" x14ac:dyDescent="0.25">
      <c r="A34" s="4"/>
      <c r="B34" s="838" t="s">
        <v>1970</v>
      </c>
      <c r="C34" s="4"/>
      <c r="D34" s="4"/>
      <c r="E34" s="4"/>
      <c r="F34" s="4"/>
      <c r="G34" s="4"/>
      <c r="H34" s="4"/>
      <c r="I34" s="4"/>
      <c r="J34" s="4"/>
      <c r="K34" s="4"/>
    </row>
    <row r="35" spans="1:18" ht="18" customHeight="1" x14ac:dyDescent="0.25">
      <c r="A35" s="4"/>
      <c r="B35" s="476"/>
      <c r="C35" s="4"/>
      <c r="D35" s="4"/>
      <c r="E35" s="4"/>
      <c r="F35" s="4"/>
      <c r="G35" s="4"/>
      <c r="H35" s="4"/>
      <c r="I35" s="4"/>
      <c r="J35" s="4"/>
      <c r="K35" s="4"/>
    </row>
    <row r="36" spans="1:18" x14ac:dyDescent="0.25">
      <c r="A36" s="4"/>
      <c r="B36" s="717" t="s">
        <v>1966</v>
      </c>
      <c r="C36" s="4"/>
      <c r="D36" s="4"/>
      <c r="E36" s="4"/>
      <c r="F36" s="4"/>
      <c r="G36" s="4"/>
      <c r="H36" s="4"/>
      <c r="I36" s="4"/>
      <c r="J36" s="4"/>
      <c r="K36" s="4"/>
    </row>
    <row r="37" spans="1:18" ht="10.5" customHeight="1" x14ac:dyDescent="0.25">
      <c r="A37" s="4"/>
      <c r="B37" s="476"/>
      <c r="C37" s="4"/>
      <c r="D37" s="4"/>
      <c r="E37" s="4"/>
      <c r="F37" s="4"/>
      <c r="G37" s="4"/>
      <c r="H37" s="4"/>
      <c r="I37" s="4"/>
      <c r="J37" s="4"/>
      <c r="K37" s="4"/>
    </row>
    <row r="38" spans="1:18" ht="19.5" customHeight="1" x14ac:dyDescent="0.25">
      <c r="A38" s="4"/>
      <c r="B38" s="474" t="s">
        <v>1967</v>
      </c>
      <c r="C38" s="475" t="s">
        <v>43</v>
      </c>
      <c r="D38" s="1804" t="s">
        <v>722</v>
      </c>
      <c r="E38" s="1804"/>
      <c r="F38" s="1804" t="s">
        <v>33</v>
      </c>
      <c r="G38" s="1805"/>
      <c r="H38" s="4"/>
      <c r="I38" s="4"/>
      <c r="J38" s="4"/>
      <c r="K38" s="4"/>
    </row>
    <row r="39" spans="1:18" ht="15.75" customHeight="1" x14ac:dyDescent="0.25">
      <c r="A39" s="4"/>
      <c r="B39" s="463"/>
      <c r="C39" s="463"/>
      <c r="D39" s="1796" t="s">
        <v>129</v>
      </c>
      <c r="E39" s="1797"/>
      <c r="F39" s="1798"/>
      <c r="G39" s="1798"/>
      <c r="H39" s="4"/>
      <c r="I39" s="4"/>
      <c r="J39" s="4"/>
      <c r="K39" s="4"/>
      <c r="L39" t="s">
        <v>129</v>
      </c>
      <c r="M39" t="s">
        <v>1565</v>
      </c>
      <c r="N39" t="s">
        <v>1564</v>
      </c>
      <c r="O39" t="s">
        <v>1566</v>
      </c>
      <c r="P39" t="s">
        <v>1567</v>
      </c>
      <c r="Q39" t="s">
        <v>1563</v>
      </c>
      <c r="R39" t="s">
        <v>9</v>
      </c>
    </row>
    <row r="40" spans="1:18" ht="15.75" customHeight="1" x14ac:dyDescent="0.25">
      <c r="A40" s="4"/>
      <c r="B40" s="578"/>
      <c r="C40" s="281"/>
      <c r="D40" s="1796" t="s">
        <v>129</v>
      </c>
      <c r="E40" s="1797"/>
      <c r="F40" s="1798"/>
      <c r="G40" s="1798"/>
      <c r="H40" s="4"/>
      <c r="I40" s="4"/>
      <c r="J40" s="4"/>
      <c r="K40" s="4"/>
    </row>
    <row r="41" spans="1:18" ht="15.75" customHeight="1" x14ac:dyDescent="0.25">
      <c r="A41" s="4"/>
      <c r="B41" s="578"/>
      <c r="C41" s="281"/>
      <c r="D41" s="1796" t="s">
        <v>129</v>
      </c>
      <c r="E41" s="1797"/>
      <c r="F41" s="1798"/>
      <c r="G41" s="1798"/>
      <c r="H41" s="4"/>
      <c r="I41" s="4"/>
      <c r="J41" s="4"/>
      <c r="K41" s="4"/>
    </row>
    <row r="42" spans="1:18" ht="15.75" customHeight="1" x14ac:dyDescent="0.25">
      <c r="A42" s="4"/>
      <c r="B42" s="578"/>
      <c r="C42" s="281"/>
      <c r="D42" s="1796" t="s">
        <v>129</v>
      </c>
      <c r="E42" s="1797"/>
      <c r="F42" s="1798"/>
      <c r="G42" s="1798"/>
      <c r="H42" s="4"/>
      <c r="I42" s="4"/>
      <c r="J42" s="4"/>
      <c r="K42" s="4"/>
    </row>
    <row r="43" spans="1:18" ht="15.75" customHeight="1" x14ac:dyDescent="0.25">
      <c r="A43" s="4"/>
      <c r="B43" s="578"/>
      <c r="C43" s="281"/>
      <c r="D43" s="1796" t="s">
        <v>129</v>
      </c>
      <c r="E43" s="1797"/>
      <c r="F43" s="1798"/>
      <c r="G43" s="1798"/>
      <c r="H43" s="4"/>
      <c r="I43" s="4"/>
      <c r="J43" s="4"/>
      <c r="K43" s="4"/>
    </row>
    <row r="44" spans="1:18" ht="15.75" customHeight="1" x14ac:dyDescent="0.25">
      <c r="A44" s="4"/>
      <c r="B44" s="578"/>
      <c r="C44" s="281"/>
      <c r="D44" s="1796" t="s">
        <v>129</v>
      </c>
      <c r="E44" s="1797"/>
      <c r="F44" s="1798"/>
      <c r="G44" s="1798"/>
      <c r="H44" s="4"/>
      <c r="I44" s="4"/>
      <c r="J44" s="4"/>
      <c r="K44" s="4"/>
    </row>
    <row r="45" spans="1:18" ht="15.75" customHeight="1" x14ac:dyDescent="0.25">
      <c r="A45" s="4"/>
      <c r="B45" s="578"/>
      <c r="C45" s="281"/>
      <c r="D45" s="1796" t="s">
        <v>129</v>
      </c>
      <c r="E45" s="1797"/>
      <c r="F45" s="1798"/>
      <c r="G45" s="1798"/>
      <c r="H45" s="4"/>
      <c r="I45" s="4"/>
      <c r="J45" s="4"/>
      <c r="K45" s="4"/>
    </row>
    <row r="46" spans="1:18" ht="15.75" customHeight="1" x14ac:dyDescent="0.25">
      <c r="A46" s="4"/>
      <c r="B46" s="578"/>
      <c r="C46" s="281"/>
      <c r="D46" s="1796" t="s">
        <v>129</v>
      </c>
      <c r="E46" s="1797"/>
      <c r="F46" s="1798"/>
      <c r="G46" s="1798"/>
      <c r="H46" s="4"/>
      <c r="I46" s="4"/>
      <c r="J46" s="4"/>
      <c r="K46" s="4"/>
    </row>
    <row r="47" spans="1:18" ht="15.75" customHeight="1" x14ac:dyDescent="0.25">
      <c r="A47" s="4"/>
      <c r="B47" s="578"/>
      <c r="C47" s="281"/>
      <c r="D47" s="1796" t="s">
        <v>129</v>
      </c>
      <c r="E47" s="1797"/>
      <c r="F47" s="1798"/>
      <c r="G47" s="1798"/>
      <c r="H47" s="4"/>
      <c r="I47" s="4"/>
      <c r="J47" s="4"/>
      <c r="K47" s="4"/>
    </row>
    <row r="48" spans="1:18" ht="15.75" customHeight="1" x14ac:dyDescent="0.25">
      <c r="A48" s="4"/>
      <c r="B48" s="578"/>
      <c r="C48" s="281"/>
      <c r="D48" s="1796" t="s">
        <v>129</v>
      </c>
      <c r="E48" s="1797"/>
      <c r="F48" s="1798"/>
      <c r="G48" s="1798"/>
      <c r="H48" s="4"/>
      <c r="I48" s="4"/>
      <c r="J48" s="4"/>
      <c r="K48" s="4"/>
    </row>
    <row r="49" spans="1:11" x14ac:dyDescent="0.25">
      <c r="A49" s="4"/>
      <c r="B49" s="4"/>
      <c r="C49" s="4"/>
      <c r="D49" s="4"/>
      <c r="E49" s="4"/>
      <c r="F49" s="4"/>
      <c r="G49" s="4"/>
      <c r="H49" s="4"/>
      <c r="I49" s="4"/>
      <c r="J49" s="4"/>
      <c r="K49" s="4"/>
    </row>
    <row r="50" spans="1:11" ht="19.5" customHeight="1" x14ac:dyDescent="0.25">
      <c r="A50" s="4"/>
      <c r="B50" s="1813" t="s">
        <v>1968</v>
      </c>
      <c r="C50" s="1813"/>
      <c r="D50" s="1813"/>
      <c r="E50" s="481">
        <f ca="1">E51-SUMIF(D39:E48,"Select",C39:C48)-SUMIF(D39:E48,"No",C39:C48)</f>
        <v>0</v>
      </c>
      <c r="F50" s="4"/>
      <c r="G50" s="4"/>
      <c r="H50" s="4"/>
      <c r="I50" s="4"/>
      <c r="J50" s="4"/>
      <c r="K50" s="4"/>
    </row>
    <row r="51" spans="1:11" ht="19.5" customHeight="1" x14ac:dyDescent="0.25">
      <c r="A51" s="4"/>
      <c r="B51" s="1813" t="s">
        <v>1969</v>
      </c>
      <c r="C51" s="1813"/>
      <c r="D51" s="1813"/>
      <c r="E51" s="1197">
        <f>SUM(C39:C48)</f>
        <v>0</v>
      </c>
      <c r="F51" s="4"/>
      <c r="G51" s="4"/>
      <c r="H51" s="4"/>
      <c r="I51" s="4"/>
      <c r="J51" s="4"/>
      <c r="K51" s="4"/>
    </row>
    <row r="52" spans="1:11" ht="19.5" customHeight="1" x14ac:dyDescent="0.25">
      <c r="A52" s="4"/>
      <c r="B52" s="1813" t="s">
        <v>1959</v>
      </c>
      <c r="C52" s="1813"/>
      <c r="D52" s="1813"/>
      <c r="E52" s="1198">
        <f ca="1">IFERROR((E50/E51),0)</f>
        <v>0</v>
      </c>
      <c r="F52" s="4"/>
      <c r="G52" s="4"/>
      <c r="H52" s="4"/>
      <c r="I52" s="4"/>
      <c r="J52" s="4"/>
      <c r="K52" s="4"/>
    </row>
    <row r="53" spans="1:11" ht="19.5" customHeight="1" x14ac:dyDescent="0.25">
      <c r="A53" s="4"/>
      <c r="B53" s="4"/>
      <c r="C53" s="4"/>
      <c r="D53" s="4"/>
      <c r="E53" s="4"/>
      <c r="F53" s="4"/>
      <c r="G53" s="4"/>
      <c r="H53" s="4"/>
      <c r="I53" s="4"/>
      <c r="J53" s="4"/>
      <c r="K53" s="4"/>
    </row>
    <row r="54" spans="1:11" ht="18" customHeight="1" x14ac:dyDescent="0.25">
      <c r="A54" s="1799" t="s">
        <v>200</v>
      </c>
      <c r="B54" s="1799"/>
      <c r="C54" s="1799"/>
      <c r="D54" s="1799"/>
      <c r="E54" s="1799"/>
      <c r="F54" s="1799"/>
      <c r="G54" s="1799"/>
      <c r="H54" s="1799"/>
      <c r="I54" s="1799"/>
      <c r="J54" s="1799"/>
      <c r="K54" s="1799"/>
    </row>
    <row r="55" spans="1:11" x14ac:dyDescent="0.25">
      <c r="A55" s="4"/>
      <c r="B55" s="4"/>
      <c r="C55" s="4"/>
      <c r="D55" s="4"/>
      <c r="E55" s="4"/>
      <c r="F55" s="4"/>
      <c r="G55" s="4"/>
      <c r="H55" s="4"/>
      <c r="I55" s="4"/>
      <c r="J55" s="4"/>
      <c r="K55" s="4"/>
    </row>
    <row r="56" spans="1:11" ht="18" customHeight="1" x14ac:dyDescent="0.25">
      <c r="A56" s="4"/>
      <c r="B56" s="1811" t="s">
        <v>2103</v>
      </c>
      <c r="C56" s="1812"/>
      <c r="D56" s="1812"/>
      <c r="E56" s="1812"/>
      <c r="F56" s="1812"/>
      <c r="G56" s="1079" t="s">
        <v>2101</v>
      </c>
      <c r="H56" s="1804" t="s">
        <v>2102</v>
      </c>
      <c r="I56" s="1805"/>
      <c r="J56" s="4"/>
      <c r="K56" s="4"/>
    </row>
    <row r="57" spans="1:11" ht="24" customHeight="1" x14ac:dyDescent="0.25">
      <c r="A57" s="4"/>
      <c r="B57" s="1436" t="s">
        <v>1860</v>
      </c>
      <c r="C57" s="1437"/>
      <c r="D57" s="1437"/>
      <c r="E57" s="1437"/>
      <c r="F57" s="1438"/>
      <c r="G57" s="518" t="s">
        <v>129</v>
      </c>
      <c r="H57" s="1441"/>
      <c r="I57" s="1442"/>
      <c r="J57" s="4"/>
      <c r="K57" s="4"/>
    </row>
    <row r="58" spans="1:11" ht="24" customHeight="1" x14ac:dyDescent="0.25">
      <c r="A58" s="4"/>
      <c r="B58" s="1436" t="s">
        <v>1861</v>
      </c>
      <c r="C58" s="1437"/>
      <c r="D58" s="1437"/>
      <c r="E58" s="1437"/>
      <c r="F58" s="1438"/>
      <c r="G58" s="518" t="s">
        <v>129</v>
      </c>
      <c r="H58" s="1441"/>
      <c r="I58" s="1442"/>
      <c r="J58" s="4"/>
      <c r="K58" s="4"/>
    </row>
    <row r="59" spans="1:11" ht="19.5" customHeight="1" x14ac:dyDescent="0.25">
      <c r="A59" s="4"/>
      <c r="B59" s="4"/>
      <c r="C59" s="4"/>
      <c r="D59" s="4"/>
      <c r="E59" s="4"/>
      <c r="F59" s="4"/>
      <c r="G59" s="4"/>
      <c r="H59" s="4"/>
      <c r="I59" s="4"/>
      <c r="J59" s="4"/>
      <c r="K59" s="4"/>
    </row>
    <row r="60" spans="1:11" ht="18" customHeight="1" x14ac:dyDescent="0.25">
      <c r="A60" s="1799" t="s">
        <v>25</v>
      </c>
      <c r="B60" s="1799"/>
      <c r="C60" s="1799"/>
      <c r="D60" s="1799"/>
      <c r="E60" s="1799"/>
      <c r="F60" s="1799"/>
      <c r="G60" s="1799"/>
      <c r="H60" s="1799"/>
      <c r="I60" s="1799"/>
      <c r="J60" s="1799"/>
      <c r="K60" s="1799"/>
    </row>
    <row r="61" spans="1:11" ht="16.5" customHeight="1" x14ac:dyDescent="0.25">
      <c r="A61" s="4"/>
      <c r="B61" s="4"/>
      <c r="C61" s="4"/>
      <c r="D61" s="4"/>
      <c r="E61" s="4"/>
      <c r="F61" s="4"/>
      <c r="G61" s="4"/>
      <c r="H61" s="4"/>
      <c r="I61" s="4"/>
      <c r="J61" s="4"/>
      <c r="K61" s="4"/>
    </row>
    <row r="62" spans="1:11" ht="18" customHeight="1" x14ac:dyDescent="0.25">
      <c r="A62" s="4"/>
      <c r="B62" s="319" t="s">
        <v>56</v>
      </c>
      <c r="C62" s="1193">
        <f ca="1">IF(E52&gt;=0.8,2,IF(E52&gt;=0.4,1,0))</f>
        <v>0</v>
      </c>
      <c r="D62" s="4"/>
      <c r="E62" s="4"/>
      <c r="F62" s="4"/>
      <c r="G62" s="4"/>
      <c r="H62" s="4"/>
      <c r="I62" s="4"/>
      <c r="J62" s="4"/>
      <c r="K62" s="4"/>
    </row>
    <row r="63" spans="1:11" ht="18" customHeight="1" x14ac:dyDescent="0.25">
      <c r="A63" s="4"/>
      <c r="B63" s="320" t="s">
        <v>521</v>
      </c>
      <c r="C63" s="1193" t="str">
        <f ca="1">IF(AND(COUNTIF(G57:G58,"Submitted")=2,C62&gt;0),"Yes","No")</f>
        <v>No</v>
      </c>
      <c r="D63" s="4"/>
      <c r="E63" s="4"/>
      <c r="F63" s="4"/>
      <c r="G63" s="4"/>
      <c r="H63" s="4"/>
      <c r="I63" s="4"/>
      <c r="J63" s="4"/>
      <c r="K63" s="4"/>
    </row>
    <row r="64" spans="1:11" ht="14.25" customHeight="1" x14ac:dyDescent="0.25">
      <c r="A64" s="4"/>
      <c r="B64" s="4"/>
      <c r="C64" s="4"/>
      <c r="D64" s="4"/>
      <c r="E64" s="4"/>
      <c r="F64" s="4"/>
      <c r="G64" s="4"/>
      <c r="H64" s="4"/>
      <c r="I64" s="4"/>
      <c r="J64" s="4"/>
      <c r="K64" s="4"/>
    </row>
    <row r="65" spans="1:11" ht="14.25" customHeight="1" x14ac:dyDescent="0.25">
      <c r="A65" s="4"/>
      <c r="B65" s="4"/>
      <c r="C65" s="4"/>
      <c r="D65" s="4"/>
      <c r="E65" s="4"/>
      <c r="F65" s="4"/>
      <c r="G65" s="4"/>
      <c r="H65" s="4"/>
      <c r="I65" s="4"/>
      <c r="J65" s="4"/>
      <c r="K65" s="4"/>
    </row>
    <row r="66" spans="1:11" hidden="1" x14ac:dyDescent="0.25">
      <c r="A66" s="4"/>
      <c r="B66" s="4"/>
      <c r="C66" s="4"/>
      <c r="D66" s="4"/>
      <c r="E66" s="4"/>
      <c r="F66" s="4"/>
      <c r="G66" s="4"/>
      <c r="H66" s="4"/>
      <c r="I66" s="4"/>
      <c r="J66" s="4"/>
      <c r="K66" s="4"/>
    </row>
    <row r="67" spans="1:11" ht="15" hidden="1" customHeight="1" x14ac:dyDescent="0.25"/>
    <row r="68" spans="1:11" ht="15" hidden="1" customHeight="1" x14ac:dyDescent="0.25"/>
    <row r="69" spans="1:11" ht="15" hidden="1" customHeight="1" x14ac:dyDescent="0.25"/>
    <row r="70" spans="1:11" ht="15" hidden="1" customHeight="1" x14ac:dyDescent="0.25"/>
    <row r="71" spans="1:11" ht="15" hidden="1" customHeight="1" x14ac:dyDescent="0.25"/>
    <row r="72" spans="1:11" ht="15" hidden="1" customHeight="1" x14ac:dyDescent="0.25"/>
    <row r="73" spans="1:11" ht="15" hidden="1" customHeight="1" x14ac:dyDescent="0.25"/>
    <row r="74" spans="1:11" ht="15" hidden="1" customHeight="1" x14ac:dyDescent="0.25"/>
    <row r="75" spans="1:11" ht="15" hidden="1" customHeight="1" x14ac:dyDescent="0.25"/>
    <row r="76" spans="1:11" ht="15" hidden="1" customHeight="1" x14ac:dyDescent="0.25"/>
    <row r="77" spans="1:11" ht="15" hidden="1" customHeight="1" x14ac:dyDescent="0.25"/>
    <row r="78" spans="1:11" ht="15" hidden="1" customHeight="1" x14ac:dyDescent="0.25"/>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sheetData>
  <mergeCells count="47">
    <mergeCell ref="F42:G42"/>
    <mergeCell ref="F44:G44"/>
    <mergeCell ref="D45:E45"/>
    <mergeCell ref="F45:G45"/>
    <mergeCell ref="D46:E46"/>
    <mergeCell ref="F46:G46"/>
    <mergeCell ref="A60:K60"/>
    <mergeCell ref="A14:K14"/>
    <mergeCell ref="A9:K9"/>
    <mergeCell ref="A28:K28"/>
    <mergeCell ref="A54:K54"/>
    <mergeCell ref="B58:F58"/>
    <mergeCell ref="B50:D50"/>
    <mergeCell ref="B51:D51"/>
    <mergeCell ref="B52:D52"/>
    <mergeCell ref="B57:F57"/>
    <mergeCell ref="D47:E47"/>
    <mergeCell ref="F47:G47"/>
    <mergeCell ref="D48:E48"/>
    <mergeCell ref="F48:G48"/>
    <mergeCell ref="D44:E44"/>
    <mergeCell ref="D43:E43"/>
    <mergeCell ref="A1:K1"/>
    <mergeCell ref="B21:I21"/>
    <mergeCell ref="B22:I22"/>
    <mergeCell ref="B23:I23"/>
    <mergeCell ref="B24:I24"/>
    <mergeCell ref="H2:I4"/>
    <mergeCell ref="A5:K7"/>
    <mergeCell ref="B11:E11"/>
    <mergeCell ref="B12:E12"/>
    <mergeCell ref="B56:F56"/>
    <mergeCell ref="H56:I56"/>
    <mergeCell ref="H57:I57"/>
    <mergeCell ref="H58:I58"/>
    <mergeCell ref="B25:I25"/>
    <mergeCell ref="B26:I26"/>
    <mergeCell ref="F43:G43"/>
    <mergeCell ref="D38:E38"/>
    <mergeCell ref="F38:G38"/>
    <mergeCell ref="D39:E39"/>
    <mergeCell ref="F39:G39"/>
    <mergeCell ref="D40:E40"/>
    <mergeCell ref="F40:G40"/>
    <mergeCell ref="D41:E41"/>
    <mergeCell ref="F41:G41"/>
    <mergeCell ref="D42:E42"/>
  </mergeCells>
  <conditionalFormatting sqref="F12">
    <cfRule type="expression" dxfId="150" priority="19">
      <formula>OR(#REF!="No",#REF!="Không")</formula>
    </cfRule>
  </conditionalFormatting>
  <conditionalFormatting sqref="F12">
    <cfRule type="expression" dxfId="149" priority="20">
      <formula>OR($D12="No",$D12="Không")</formula>
    </cfRule>
    <cfRule type="expression" dxfId="148" priority="21">
      <formula>OR(#REF!="No",#REF!="Không")</formula>
    </cfRule>
  </conditionalFormatting>
  <conditionalFormatting sqref="B12">
    <cfRule type="expression" dxfId="147" priority="14">
      <formula>OR(#REF!="No",#REF!="Không")</formula>
    </cfRule>
  </conditionalFormatting>
  <conditionalFormatting sqref="B12">
    <cfRule type="expression" dxfId="146" priority="15">
      <formula>OR($D12="No",$D12="Không")</formula>
    </cfRule>
    <cfRule type="expression" dxfId="145" priority="16">
      <formula>OR(#REF!="No",#REF!="Không")</formula>
    </cfRule>
  </conditionalFormatting>
  <conditionalFormatting sqref="G57:G58">
    <cfRule type="expression" dxfId="144" priority="4">
      <formula>#REF!&lt;&gt;"Prescriptive Path"</formula>
    </cfRule>
  </conditionalFormatting>
  <conditionalFormatting sqref="H56:I56">
    <cfRule type="expression" dxfId="143" priority="3">
      <formula>#REF!&lt;&gt;"Prescriptive Path"</formula>
    </cfRule>
  </conditionalFormatting>
  <conditionalFormatting sqref="I57">
    <cfRule type="expression" dxfId="142" priority="2">
      <formula>#REF!&lt;&gt;"Prescriptive Path"</formula>
    </cfRule>
  </conditionalFormatting>
  <conditionalFormatting sqref="I58">
    <cfRule type="expression" dxfId="141" priority="1">
      <formula>#REF!&lt;&gt;"Prescriptive Path"</formula>
    </cfRule>
  </conditionalFormatting>
  <dataValidations count="5">
    <dataValidation allowBlank="1" showInputMessage="1" showErrorMessage="1" prompt="Provide more details on the flooring material used" sqref="F38:G38"/>
    <dataValidation type="list" allowBlank="1" showInputMessage="1" showErrorMessage="1" sqref="D39:E48">
      <formula1>$L$39:$R$39</formula1>
    </dataValidation>
    <dataValidation type="list" allowBlank="1" showInputMessage="1" showErrorMessage="1" sqref="G57:G58">
      <formula1>"Select,Submitted,Not submitted"</formula1>
    </dataValidation>
    <dataValidation allowBlank="1" showInputMessage="1" showErrorMessage="1" prompt="Enter the name of the roofing item" sqref="B39:B48"/>
    <dataValidation allowBlank="1" showInputMessage="1" showErrorMessage="1" prompt="Provide more details on the sustainable feature of the roof covering item" sqref="F39:G48"/>
  </dataValidations>
  <hyperlinks>
    <hyperlink ref="J4" location="'M-3 Windows and doors'!D3" tooltip="M-3" display="M-3"/>
    <hyperlink ref="J3" location="'M-2 Non-structural walls'!D3" tooltip="M-2" display="M-2"/>
    <hyperlink ref="K2" location="'M-4 Flooring materials'!D3" tooltip="M-4" display="M-4"/>
    <hyperlink ref="K3" location="'M-6 Furniture'!D3" tooltip="M-6" display="M-6"/>
    <hyperlink ref="J2" location="'M-1 Structure Materials'!D3" tooltip="M-1" display="M-1"/>
  </hyperlinks>
  <pageMargins left="0.7" right="0.7" top="0.75" bottom="0.75" header="0.3" footer="0.3"/>
  <pageSetup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5F4970"/>
  </sheetPr>
  <dimension ref="A1:M131"/>
  <sheetViews>
    <sheetView showRowColHeaders="0" zoomScaleNormal="100" workbookViewId="0">
      <pane ySplit="8" topLeftCell="A9" activePane="bottomLeft" state="frozen"/>
      <selection pane="bottomLeft" activeCell="A9" sqref="A9:K9"/>
    </sheetView>
  </sheetViews>
  <sheetFormatPr defaultColWidth="0" defaultRowHeight="15" customHeight="1" zeroHeight="1" x14ac:dyDescent="0.25"/>
  <cols>
    <col min="1" max="1" width="3.7109375" customWidth="1"/>
    <col min="2" max="2" width="23.140625" customWidth="1"/>
    <col min="3" max="3" width="21.5703125" customWidth="1"/>
    <col min="4" max="4" width="18.7109375" customWidth="1"/>
    <col min="5" max="5" width="17.42578125" customWidth="1"/>
    <col min="6" max="7" width="19" customWidth="1"/>
    <col min="8" max="8" width="18.42578125" customWidth="1"/>
    <col min="9" max="9" width="9.85546875" customWidth="1"/>
    <col min="10" max="11" width="8.7109375" customWidth="1"/>
    <col min="12" max="16384" width="9.140625" hidden="1"/>
  </cols>
  <sheetData>
    <row r="1" spans="1:13" ht="25.5" customHeight="1" x14ac:dyDescent="0.25">
      <c r="A1" s="1795" t="s">
        <v>856</v>
      </c>
      <c r="B1" s="1795"/>
      <c r="C1" s="1795"/>
      <c r="D1" s="1795"/>
      <c r="E1" s="1795"/>
      <c r="F1" s="1795"/>
      <c r="G1" s="1795"/>
      <c r="H1" s="1795"/>
      <c r="I1" s="1795"/>
      <c r="J1" s="1795"/>
      <c r="K1" s="1795"/>
    </row>
    <row r="2" spans="1:13" ht="15" customHeight="1" x14ac:dyDescent="0.25">
      <c r="A2" s="4"/>
      <c r="B2" s="4"/>
      <c r="C2" s="4"/>
      <c r="D2" s="4"/>
      <c r="E2" s="4"/>
      <c r="F2" s="4"/>
      <c r="G2" s="5"/>
      <c r="H2" s="1426" t="s">
        <v>2107</v>
      </c>
      <c r="I2" s="1426"/>
      <c r="J2" s="833" t="s">
        <v>59</v>
      </c>
      <c r="K2" s="833" t="s">
        <v>71</v>
      </c>
    </row>
    <row r="3" spans="1:13" ht="15" customHeight="1" x14ac:dyDescent="0.25">
      <c r="A3" s="4"/>
      <c r="B3" s="4"/>
      <c r="C3" s="4"/>
      <c r="D3" s="4"/>
      <c r="E3" s="4"/>
      <c r="F3" s="4"/>
      <c r="G3" s="5"/>
      <c r="H3" s="1426"/>
      <c r="I3" s="1426"/>
      <c r="J3" s="833" t="s">
        <v>63</v>
      </c>
      <c r="K3" s="833" t="s">
        <v>75</v>
      </c>
    </row>
    <row r="4" spans="1:13" ht="15" customHeight="1" x14ac:dyDescent="0.25">
      <c r="A4" s="4"/>
      <c r="B4" s="4"/>
      <c r="C4" s="4"/>
      <c r="D4" s="4"/>
      <c r="E4" s="4"/>
      <c r="F4" s="4"/>
      <c r="G4" s="5"/>
      <c r="H4" s="1427"/>
      <c r="I4" s="1427"/>
      <c r="J4" s="833" t="s">
        <v>67</v>
      </c>
      <c r="K4" s="833"/>
    </row>
    <row r="5" spans="1:13" s="42" customFormat="1" ht="18" customHeight="1" x14ac:dyDescent="0.25">
      <c r="A5" s="1417" t="s">
        <v>2416</v>
      </c>
      <c r="B5" s="1418"/>
      <c r="C5" s="1418"/>
      <c r="D5" s="1418"/>
      <c r="E5" s="1418"/>
      <c r="F5" s="1418"/>
      <c r="G5" s="1418"/>
      <c r="H5" s="1418"/>
      <c r="I5" s="1418"/>
      <c r="J5" s="1418"/>
      <c r="K5" s="1418"/>
      <c r="L5" s="193"/>
      <c r="M5" s="194"/>
    </row>
    <row r="6" spans="1:13" s="42" customFormat="1" ht="18" customHeight="1" x14ac:dyDescent="0.25">
      <c r="A6" s="1420"/>
      <c r="B6" s="1421"/>
      <c r="C6" s="1421"/>
      <c r="D6" s="1421"/>
      <c r="E6" s="1421"/>
      <c r="F6" s="1421"/>
      <c r="G6" s="1421"/>
      <c r="H6" s="1421"/>
      <c r="I6" s="1421"/>
      <c r="J6" s="1421"/>
      <c r="K6" s="1421"/>
      <c r="L6" s="195"/>
      <c r="M6" s="196"/>
    </row>
    <row r="7" spans="1:13" s="42" customFormat="1" ht="18" customHeight="1" x14ac:dyDescent="0.25">
      <c r="A7" s="1423"/>
      <c r="B7" s="1424"/>
      <c r="C7" s="1424"/>
      <c r="D7" s="1424"/>
      <c r="E7" s="1424"/>
      <c r="F7" s="1424"/>
      <c r="G7" s="1424"/>
      <c r="H7" s="1424"/>
      <c r="I7" s="1424"/>
      <c r="J7" s="1424"/>
      <c r="K7" s="1424"/>
      <c r="L7" s="197"/>
      <c r="M7" s="198"/>
    </row>
    <row r="8" spans="1:13" s="42" customFormat="1" ht="10.5" customHeight="1" x14ac:dyDescent="0.25">
      <c r="A8" s="53"/>
      <c r="B8" s="54"/>
      <c r="C8" s="54"/>
      <c r="D8" s="54"/>
      <c r="E8" s="54"/>
      <c r="F8" s="53"/>
      <c r="G8" s="53"/>
      <c r="H8" s="53"/>
      <c r="I8" s="53"/>
      <c r="J8" s="53"/>
      <c r="K8" s="53"/>
      <c r="L8" s="53"/>
      <c r="M8" s="53"/>
    </row>
    <row r="9" spans="1:13" ht="18" customHeight="1" x14ac:dyDescent="0.25">
      <c r="A9" s="1799" t="s">
        <v>191</v>
      </c>
      <c r="B9" s="1799"/>
      <c r="C9" s="1799"/>
      <c r="D9" s="1799"/>
      <c r="E9" s="1799"/>
      <c r="F9" s="1799"/>
      <c r="G9" s="1799"/>
      <c r="H9" s="1799"/>
      <c r="I9" s="1799"/>
      <c r="J9" s="1799"/>
      <c r="K9" s="1799"/>
    </row>
    <row r="10" spans="1:13" ht="16.5" customHeight="1" x14ac:dyDescent="0.25">
      <c r="A10" s="5"/>
      <c r="B10" s="4"/>
      <c r="C10" s="4"/>
      <c r="D10" s="4"/>
      <c r="E10" s="4"/>
      <c r="F10" s="5"/>
      <c r="G10" s="5"/>
      <c r="H10" s="5"/>
      <c r="I10" s="5"/>
      <c r="J10" s="5"/>
      <c r="K10" s="5"/>
    </row>
    <row r="11" spans="1:13" ht="19.5" customHeight="1" x14ac:dyDescent="0.25">
      <c r="A11" s="5"/>
      <c r="B11" s="1802" t="s">
        <v>192</v>
      </c>
      <c r="C11" s="1803"/>
      <c r="D11" s="1803"/>
      <c r="E11" s="1803"/>
      <c r="F11" s="480" t="s">
        <v>157</v>
      </c>
      <c r="G11" s="480" t="s">
        <v>56</v>
      </c>
      <c r="H11" s="317" t="s">
        <v>521</v>
      </c>
      <c r="I11" s="5"/>
      <c r="J11" s="5"/>
      <c r="K11" s="5"/>
    </row>
    <row r="12" spans="1:13" ht="30" customHeight="1" x14ac:dyDescent="0.25">
      <c r="A12" s="5"/>
      <c r="B12" s="1818" t="s">
        <v>1554</v>
      </c>
      <c r="C12" s="1819"/>
      <c r="D12" s="1819"/>
      <c r="E12" s="1820"/>
      <c r="F12" s="479">
        <v>2</v>
      </c>
      <c r="G12" s="477">
        <f>C61</f>
        <v>0</v>
      </c>
      <c r="H12" s="478" t="str">
        <f>C62</f>
        <v>No</v>
      </c>
      <c r="I12" s="5"/>
      <c r="J12" s="5"/>
      <c r="K12" s="5"/>
    </row>
    <row r="13" spans="1:13" ht="16.5" customHeight="1" x14ac:dyDescent="0.25">
      <c r="A13" s="5"/>
      <c r="B13" s="4"/>
      <c r="C13" s="4"/>
      <c r="D13" s="4"/>
      <c r="E13" s="4"/>
      <c r="F13" s="5"/>
      <c r="G13" s="5"/>
      <c r="H13" s="5"/>
      <c r="I13" s="5"/>
      <c r="J13" s="5"/>
      <c r="K13" s="5"/>
    </row>
    <row r="14" spans="1:13" ht="18" customHeight="1" x14ac:dyDescent="0.25">
      <c r="A14" s="1799" t="s">
        <v>265</v>
      </c>
      <c r="B14" s="1799"/>
      <c r="C14" s="1799"/>
      <c r="D14" s="1799"/>
      <c r="E14" s="1799"/>
      <c r="F14" s="1799"/>
      <c r="G14" s="1799"/>
      <c r="H14" s="1799"/>
      <c r="I14" s="1799"/>
      <c r="J14" s="1799"/>
      <c r="K14" s="1799"/>
    </row>
    <row r="15" spans="1:13" x14ac:dyDescent="0.25">
      <c r="A15" s="4"/>
      <c r="B15" s="4"/>
      <c r="C15" s="4"/>
      <c r="D15" s="4"/>
      <c r="E15" s="4"/>
      <c r="F15" s="4"/>
      <c r="G15" s="4"/>
      <c r="H15" s="4"/>
      <c r="I15" s="4"/>
      <c r="J15" s="4"/>
      <c r="K15" s="4"/>
    </row>
    <row r="16" spans="1:13" x14ac:dyDescent="0.25">
      <c r="A16" s="4"/>
      <c r="B16" s="661" t="s">
        <v>1553</v>
      </c>
      <c r="C16" s="4"/>
      <c r="D16" s="4"/>
      <c r="E16" s="4"/>
      <c r="F16" s="4"/>
      <c r="G16" s="4"/>
      <c r="H16" s="4"/>
      <c r="I16" s="4"/>
      <c r="J16" s="4"/>
      <c r="K16" s="4"/>
    </row>
    <row r="17" spans="1:12" ht="18.75" customHeight="1" x14ac:dyDescent="0.25">
      <c r="A17" s="4"/>
      <c r="B17" s="4"/>
      <c r="C17" s="4"/>
      <c r="D17" s="4"/>
      <c r="E17" s="4"/>
      <c r="F17" s="4"/>
      <c r="G17" s="4"/>
      <c r="H17" s="4"/>
      <c r="I17" s="4"/>
      <c r="J17" s="4"/>
      <c r="K17" s="4"/>
    </row>
    <row r="18" spans="1:12" x14ac:dyDescent="0.25">
      <c r="A18" s="4"/>
      <c r="B18" s="660" t="s">
        <v>1009</v>
      </c>
      <c r="C18" s="4"/>
      <c r="D18" s="4"/>
      <c r="E18" s="4"/>
      <c r="F18" s="4"/>
      <c r="G18" s="4"/>
      <c r="H18" s="4"/>
      <c r="I18" s="4"/>
      <c r="J18" s="4"/>
      <c r="K18" s="4"/>
    </row>
    <row r="19" spans="1:12" x14ac:dyDescent="0.25">
      <c r="A19" s="4"/>
      <c r="B19" s="4"/>
      <c r="C19" s="4"/>
      <c r="D19" s="4"/>
      <c r="E19" s="4"/>
      <c r="F19" s="4"/>
      <c r="G19" s="4"/>
      <c r="H19" s="4"/>
      <c r="I19" s="4"/>
      <c r="J19" s="4"/>
      <c r="K19" s="4"/>
    </row>
    <row r="20" spans="1:12" x14ac:dyDescent="0.25">
      <c r="A20" s="4"/>
      <c r="B20" s="1806" t="s">
        <v>861</v>
      </c>
      <c r="C20" s="1807"/>
      <c r="D20" s="1807"/>
      <c r="E20" s="1807"/>
      <c r="F20" s="1807"/>
      <c r="G20" s="1807"/>
      <c r="H20" s="1807"/>
      <c r="I20" s="1808"/>
      <c r="J20" s="4"/>
      <c r="K20" s="4"/>
    </row>
    <row r="21" spans="1:12" x14ac:dyDescent="0.25">
      <c r="A21" s="4"/>
      <c r="B21" s="1491" t="s">
        <v>859</v>
      </c>
      <c r="C21" s="1492"/>
      <c r="D21" s="1492"/>
      <c r="E21" s="1492"/>
      <c r="F21" s="1492"/>
      <c r="G21" s="1492"/>
      <c r="H21" s="1492"/>
      <c r="I21" s="1493"/>
      <c r="J21" s="4"/>
      <c r="K21" s="4"/>
    </row>
    <row r="22" spans="1:12" x14ac:dyDescent="0.25">
      <c r="A22" s="4"/>
      <c r="B22" s="1491" t="s">
        <v>858</v>
      </c>
      <c r="C22" s="1492"/>
      <c r="D22" s="1492"/>
      <c r="E22" s="1492"/>
      <c r="F22" s="1492"/>
      <c r="G22" s="1492"/>
      <c r="H22" s="1492"/>
      <c r="I22" s="1493"/>
      <c r="J22" s="4"/>
      <c r="K22" s="4"/>
    </row>
    <row r="23" spans="1:12" x14ac:dyDescent="0.25">
      <c r="A23" s="4"/>
      <c r="B23" s="1491" t="s">
        <v>1881</v>
      </c>
      <c r="C23" s="1492"/>
      <c r="D23" s="1492"/>
      <c r="E23" s="1492"/>
      <c r="F23" s="1492"/>
      <c r="G23" s="1492"/>
      <c r="H23" s="1492"/>
      <c r="I23" s="1493"/>
      <c r="J23" s="4"/>
      <c r="K23" s="4"/>
    </row>
    <row r="24" spans="1:12" x14ac:dyDescent="0.25">
      <c r="A24" s="4"/>
      <c r="B24" s="1498" t="s">
        <v>1882</v>
      </c>
      <c r="C24" s="1499"/>
      <c r="D24" s="1499"/>
      <c r="E24" s="1499"/>
      <c r="F24" s="1499"/>
      <c r="G24" s="1499"/>
      <c r="H24" s="1499"/>
      <c r="I24" s="1500"/>
      <c r="J24" s="4"/>
      <c r="K24" s="4"/>
    </row>
    <row r="25" spans="1:12" ht="19.5" customHeight="1" x14ac:dyDescent="0.25">
      <c r="A25" s="4"/>
      <c r="B25" s="4"/>
      <c r="C25" s="4"/>
      <c r="D25" s="4"/>
      <c r="E25" s="4"/>
      <c r="F25" s="4"/>
      <c r="G25" s="4"/>
      <c r="H25" s="4"/>
      <c r="I25" s="4"/>
      <c r="J25" s="4"/>
      <c r="K25" s="4"/>
    </row>
    <row r="26" spans="1:12" ht="18" customHeight="1" x14ac:dyDescent="0.25">
      <c r="A26" s="1799" t="s">
        <v>26</v>
      </c>
      <c r="B26" s="1799"/>
      <c r="C26" s="1799"/>
      <c r="D26" s="1799"/>
      <c r="E26" s="1799"/>
      <c r="F26" s="1799"/>
      <c r="G26" s="1799"/>
      <c r="H26" s="1799"/>
      <c r="I26" s="1799"/>
      <c r="J26" s="1799"/>
      <c r="K26" s="1799"/>
    </row>
    <row r="27" spans="1:12" x14ac:dyDescent="0.25">
      <c r="A27" s="4"/>
      <c r="B27" s="4"/>
      <c r="C27" s="4"/>
      <c r="D27" s="4"/>
      <c r="E27" s="4"/>
      <c r="F27" s="4"/>
      <c r="G27" s="4"/>
      <c r="H27" s="4"/>
      <c r="I27" s="4"/>
      <c r="J27" s="4"/>
      <c r="K27" s="4"/>
    </row>
    <row r="28" spans="1:12" x14ac:dyDescent="0.25">
      <c r="A28" s="4"/>
      <c r="B28" s="836" t="s">
        <v>1551</v>
      </c>
      <c r="C28" s="4"/>
      <c r="D28" s="4"/>
      <c r="E28" s="4"/>
      <c r="F28" s="4"/>
      <c r="G28" s="4"/>
      <c r="H28" s="4"/>
      <c r="I28" s="4"/>
      <c r="J28" s="4"/>
      <c r="K28" s="4"/>
    </row>
    <row r="29" spans="1:12" ht="18.75" customHeight="1" x14ac:dyDescent="0.25">
      <c r="A29" s="4"/>
      <c r="B29" s="981"/>
      <c r="C29" s="4"/>
      <c r="D29" s="4"/>
      <c r="E29" s="4"/>
      <c r="F29" s="4"/>
      <c r="G29" s="4"/>
      <c r="H29" s="4"/>
      <c r="I29" s="4"/>
      <c r="J29" s="4"/>
      <c r="K29" s="4"/>
    </row>
    <row r="30" spans="1:12" x14ac:dyDescent="0.25">
      <c r="A30" s="4"/>
      <c r="B30" s="717" t="s">
        <v>1290</v>
      </c>
      <c r="C30" s="4"/>
      <c r="D30" s="4"/>
      <c r="E30" s="4"/>
      <c r="F30" s="4"/>
      <c r="G30" s="4"/>
      <c r="H30" s="4"/>
      <c r="I30" s="4"/>
      <c r="J30" s="4"/>
      <c r="K30" s="4"/>
    </row>
    <row r="31" spans="1:12" ht="9.75" customHeight="1" x14ac:dyDescent="0.25">
      <c r="A31" s="4"/>
      <c r="B31" s="4"/>
      <c r="C31" s="4"/>
      <c r="D31" s="4"/>
      <c r="E31" s="4"/>
      <c r="F31" s="4"/>
      <c r="G31" s="4"/>
      <c r="H31" s="4"/>
      <c r="I31" s="4"/>
      <c r="J31" s="4"/>
      <c r="K31" s="4"/>
    </row>
    <row r="32" spans="1:12" ht="20.25" customHeight="1" x14ac:dyDescent="0.25">
      <c r="A32" s="4"/>
      <c r="B32" s="474" t="s">
        <v>1552</v>
      </c>
      <c r="C32" s="475" t="s">
        <v>29</v>
      </c>
      <c r="D32" s="1804" t="s">
        <v>1902</v>
      </c>
      <c r="E32" s="1804"/>
      <c r="F32" s="1804" t="s">
        <v>33</v>
      </c>
      <c r="G32" s="1805"/>
      <c r="H32" s="4"/>
      <c r="I32" s="4"/>
      <c r="J32" s="4"/>
      <c r="K32" s="4"/>
      <c r="L32" s="4"/>
    </row>
    <row r="33" spans="1:12" x14ac:dyDescent="0.25">
      <c r="A33" s="4"/>
      <c r="B33" s="578"/>
      <c r="C33" s="566"/>
      <c r="D33" s="1737" t="s">
        <v>129</v>
      </c>
      <c r="E33" s="1738"/>
      <c r="F33" s="1817"/>
      <c r="G33" s="1817"/>
      <c r="H33" s="4"/>
      <c r="I33" s="4"/>
      <c r="J33" s="4"/>
      <c r="K33" s="4"/>
      <c r="L33" s="4"/>
    </row>
    <row r="34" spans="1:12" x14ac:dyDescent="0.25">
      <c r="A34" s="4"/>
      <c r="B34" s="578"/>
      <c r="C34" s="565"/>
      <c r="D34" s="1737" t="s">
        <v>129</v>
      </c>
      <c r="E34" s="1738"/>
      <c r="F34" s="1817"/>
      <c r="G34" s="1817"/>
      <c r="H34" s="4"/>
      <c r="I34" s="4"/>
      <c r="J34" s="4"/>
      <c r="K34" s="4"/>
      <c r="L34" s="4"/>
    </row>
    <row r="35" spans="1:12" x14ac:dyDescent="0.25">
      <c r="A35" s="4"/>
      <c r="B35" s="578"/>
      <c r="C35" s="565"/>
      <c r="D35" s="1737" t="s">
        <v>129</v>
      </c>
      <c r="E35" s="1738"/>
      <c r="F35" s="1817"/>
      <c r="G35" s="1817"/>
      <c r="H35" s="4"/>
      <c r="I35" s="4"/>
      <c r="J35" s="4"/>
      <c r="K35" s="4"/>
      <c r="L35" s="4"/>
    </row>
    <row r="36" spans="1:12" x14ac:dyDescent="0.25">
      <c r="A36" s="4"/>
      <c r="B36" s="578"/>
      <c r="C36" s="565"/>
      <c r="D36" s="1737" t="s">
        <v>129</v>
      </c>
      <c r="E36" s="1738"/>
      <c r="F36" s="1817"/>
      <c r="G36" s="1817"/>
      <c r="H36" s="4"/>
      <c r="I36" s="4"/>
      <c r="J36" s="4"/>
      <c r="K36" s="4"/>
      <c r="L36" s="4"/>
    </row>
    <row r="37" spans="1:12" x14ac:dyDescent="0.25">
      <c r="A37" s="4"/>
      <c r="B37" s="578"/>
      <c r="C37" s="565"/>
      <c r="D37" s="1737" t="s">
        <v>129</v>
      </c>
      <c r="E37" s="1738"/>
      <c r="F37" s="1817"/>
      <c r="G37" s="1817"/>
      <c r="H37" s="4"/>
      <c r="I37" s="4"/>
      <c r="J37" s="4"/>
      <c r="K37" s="4"/>
      <c r="L37" s="4"/>
    </row>
    <row r="38" spans="1:12" x14ac:dyDescent="0.25">
      <c r="A38" s="4"/>
      <c r="B38" s="578"/>
      <c r="C38" s="565"/>
      <c r="D38" s="1737" t="s">
        <v>129</v>
      </c>
      <c r="E38" s="1738"/>
      <c r="F38" s="1817"/>
      <c r="G38" s="1817"/>
      <c r="H38" s="4"/>
      <c r="I38" s="4"/>
      <c r="J38" s="4"/>
      <c r="K38" s="4"/>
      <c r="L38" s="4"/>
    </row>
    <row r="39" spans="1:12" x14ac:dyDescent="0.25">
      <c r="A39" s="4"/>
      <c r="B39" s="578"/>
      <c r="C39" s="565"/>
      <c r="D39" s="1737" t="s">
        <v>129</v>
      </c>
      <c r="E39" s="1738"/>
      <c r="F39" s="1817"/>
      <c r="G39" s="1817"/>
      <c r="H39" s="4"/>
      <c r="I39" s="4"/>
      <c r="J39" s="4"/>
      <c r="K39" s="4"/>
      <c r="L39" s="4"/>
    </row>
    <row r="40" spans="1:12" x14ac:dyDescent="0.25">
      <c r="A40" s="4"/>
      <c r="B40" s="578"/>
      <c r="C40" s="565"/>
      <c r="D40" s="1737" t="s">
        <v>129</v>
      </c>
      <c r="E40" s="1738"/>
      <c r="F40" s="1817"/>
      <c r="G40" s="1817"/>
      <c r="H40" s="4"/>
      <c r="I40" s="4"/>
      <c r="J40" s="4"/>
      <c r="K40" s="4"/>
      <c r="L40" s="4"/>
    </row>
    <row r="41" spans="1:12" x14ac:dyDescent="0.25">
      <c r="A41" s="4"/>
      <c r="B41" s="578"/>
      <c r="C41" s="565"/>
      <c r="D41" s="1737" t="s">
        <v>129</v>
      </c>
      <c r="E41" s="1738"/>
      <c r="F41" s="1817"/>
      <c r="G41" s="1817"/>
      <c r="H41" s="4"/>
      <c r="I41" s="4"/>
      <c r="J41" s="4"/>
      <c r="K41" s="4"/>
      <c r="L41" s="4"/>
    </row>
    <row r="42" spans="1:12" x14ac:dyDescent="0.25">
      <c r="A42" s="4"/>
      <c r="B42" s="578"/>
      <c r="C42" s="565"/>
      <c r="D42" s="1737" t="s">
        <v>129</v>
      </c>
      <c r="E42" s="1738"/>
      <c r="F42" s="1817"/>
      <c r="G42" s="1817"/>
      <c r="H42" s="4"/>
      <c r="I42" s="4"/>
      <c r="J42" s="4"/>
      <c r="K42" s="4"/>
      <c r="L42" s="4"/>
    </row>
    <row r="43" spans="1:12" x14ac:dyDescent="0.25">
      <c r="A43" s="4"/>
      <c r="B43" s="578"/>
      <c r="C43" s="565"/>
      <c r="D43" s="1737" t="s">
        <v>129</v>
      </c>
      <c r="E43" s="1738"/>
      <c r="F43" s="1817"/>
      <c r="G43" s="1817"/>
      <c r="H43" s="4"/>
      <c r="I43" s="4"/>
      <c r="J43" s="4"/>
      <c r="K43" s="4"/>
      <c r="L43" s="4"/>
    </row>
    <row r="44" spans="1:12" x14ac:dyDescent="0.25">
      <c r="A44" s="4"/>
      <c r="B44" s="578"/>
      <c r="C44" s="565"/>
      <c r="D44" s="1737" t="s">
        <v>129</v>
      </c>
      <c r="E44" s="1738"/>
      <c r="F44" s="1817"/>
      <c r="G44" s="1817"/>
      <c r="H44" s="4"/>
      <c r="I44" s="4"/>
      <c r="J44" s="4"/>
      <c r="K44" s="4"/>
      <c r="L44" s="4"/>
    </row>
    <row r="45" spans="1:12" x14ac:dyDescent="0.25">
      <c r="A45" s="4"/>
      <c r="B45" s="578"/>
      <c r="C45" s="565"/>
      <c r="D45" s="1737" t="s">
        <v>129</v>
      </c>
      <c r="E45" s="1738"/>
      <c r="F45" s="1817"/>
      <c r="G45" s="1817"/>
      <c r="H45" s="4"/>
      <c r="I45" s="4"/>
      <c r="J45" s="4"/>
      <c r="K45" s="4"/>
      <c r="L45" s="4"/>
    </row>
    <row r="46" spans="1:12" x14ac:dyDescent="0.25">
      <c r="A46" s="4"/>
      <c r="B46" s="578"/>
      <c r="C46" s="565"/>
      <c r="D46" s="1737" t="s">
        <v>129</v>
      </c>
      <c r="E46" s="1738"/>
      <c r="F46" s="1817"/>
      <c r="G46" s="1817"/>
      <c r="H46" s="4"/>
      <c r="I46" s="4"/>
      <c r="J46" s="4"/>
      <c r="K46" s="4"/>
      <c r="L46" s="4"/>
    </row>
    <row r="47" spans="1:12" x14ac:dyDescent="0.25">
      <c r="A47" s="4"/>
      <c r="B47" s="578"/>
      <c r="C47" s="565"/>
      <c r="D47" s="1737" t="s">
        <v>129</v>
      </c>
      <c r="E47" s="1738"/>
      <c r="F47" s="1817"/>
      <c r="G47" s="1817"/>
      <c r="H47" s="4"/>
      <c r="I47" s="4"/>
      <c r="J47" s="4"/>
      <c r="K47" s="4"/>
      <c r="L47" s="4"/>
    </row>
    <row r="48" spans="1:12" x14ac:dyDescent="0.25">
      <c r="A48" s="4"/>
      <c r="B48" s="4"/>
      <c r="C48" s="4"/>
      <c r="D48" s="4"/>
      <c r="E48" s="4"/>
      <c r="F48" s="4"/>
      <c r="G48" s="4"/>
      <c r="H48" s="4"/>
      <c r="I48" s="4"/>
      <c r="J48" s="4"/>
      <c r="K48" s="4"/>
    </row>
    <row r="49" spans="1:11" ht="16.5" customHeight="1" x14ac:dyDescent="0.25">
      <c r="A49" s="4"/>
      <c r="B49" s="1814" t="s">
        <v>1555</v>
      </c>
      <c r="C49" s="1814"/>
      <c r="D49" s="1200">
        <f>SUM(C33:C47)-SUMIF(D33:D47,"Select",C33:C47)-SUMIF(D33:D47,"No",C33:C47)</f>
        <v>0</v>
      </c>
      <c r="E49" s="4"/>
      <c r="F49" s="4"/>
      <c r="G49" s="4"/>
      <c r="H49" s="4"/>
      <c r="I49" s="4"/>
      <c r="J49" s="4"/>
      <c r="K49" s="4"/>
    </row>
    <row r="50" spans="1:11" ht="16.5" customHeight="1" x14ac:dyDescent="0.25">
      <c r="A50" s="4"/>
      <c r="B50" s="1814" t="s">
        <v>1556</v>
      </c>
      <c r="C50" s="1814"/>
      <c r="D50" s="1200">
        <f>SUM(C33:C47)</f>
        <v>0</v>
      </c>
      <c r="E50" s="4"/>
      <c r="F50" s="4"/>
      <c r="G50" s="4"/>
      <c r="H50" s="4"/>
      <c r="I50" s="4"/>
      <c r="J50" s="4"/>
      <c r="K50" s="4"/>
    </row>
    <row r="51" spans="1:11" ht="18.75" customHeight="1" x14ac:dyDescent="0.25">
      <c r="A51" s="4"/>
      <c r="B51" s="1814" t="s">
        <v>860</v>
      </c>
      <c r="C51" s="1814"/>
      <c r="D51" s="1198">
        <f>IFERROR(D49/D50,0)</f>
        <v>0</v>
      </c>
      <c r="E51" s="4"/>
      <c r="F51" s="4"/>
      <c r="G51" s="4"/>
      <c r="H51" s="4"/>
      <c r="I51" s="4"/>
      <c r="J51" s="4"/>
      <c r="K51" s="4"/>
    </row>
    <row r="52" spans="1:11" ht="22.5" customHeight="1" x14ac:dyDescent="0.25">
      <c r="A52" s="4"/>
      <c r="B52" s="4"/>
      <c r="C52" s="4"/>
      <c r="D52" s="4"/>
      <c r="E52" s="4"/>
      <c r="F52" s="4"/>
      <c r="G52" s="4"/>
      <c r="H52" s="4"/>
      <c r="I52" s="4"/>
      <c r="J52" s="4"/>
      <c r="K52" s="4"/>
    </row>
    <row r="53" spans="1:11" ht="18" customHeight="1" x14ac:dyDescent="0.25">
      <c r="A53" s="1799" t="s">
        <v>200</v>
      </c>
      <c r="B53" s="1799"/>
      <c r="C53" s="1799"/>
      <c r="D53" s="1799"/>
      <c r="E53" s="1799"/>
      <c r="F53" s="1799"/>
      <c r="G53" s="1799"/>
      <c r="H53" s="1799"/>
      <c r="I53" s="1799"/>
      <c r="J53" s="1799"/>
      <c r="K53" s="1799"/>
    </row>
    <row r="54" spans="1:11" x14ac:dyDescent="0.25">
      <c r="A54" s="4"/>
      <c r="B54" s="4"/>
      <c r="C54" s="4"/>
      <c r="D54" s="4"/>
      <c r="E54" s="4"/>
      <c r="F54" s="4"/>
      <c r="G54" s="4"/>
      <c r="H54" s="4"/>
      <c r="I54" s="4"/>
      <c r="J54" s="4"/>
      <c r="K54" s="4"/>
    </row>
    <row r="55" spans="1:11" ht="18" customHeight="1" x14ac:dyDescent="0.25">
      <c r="A55" s="4"/>
      <c r="B55" s="1811" t="s">
        <v>2103</v>
      </c>
      <c r="C55" s="1812"/>
      <c r="D55" s="1812"/>
      <c r="E55" s="1812"/>
      <c r="F55" s="1812"/>
      <c r="G55" s="1079" t="s">
        <v>2101</v>
      </c>
      <c r="H55" s="1804" t="s">
        <v>2102</v>
      </c>
      <c r="I55" s="1805"/>
      <c r="J55" s="4"/>
      <c r="K55" s="4"/>
    </row>
    <row r="56" spans="1:11" ht="24" customHeight="1" x14ac:dyDescent="0.25">
      <c r="A56" s="4"/>
      <c r="B56" s="1436" t="s">
        <v>1862</v>
      </c>
      <c r="C56" s="1437"/>
      <c r="D56" s="1437"/>
      <c r="E56" s="1437"/>
      <c r="F56" s="1438"/>
      <c r="G56" s="518" t="s">
        <v>129</v>
      </c>
      <c r="H56" s="1441"/>
      <c r="I56" s="1442"/>
      <c r="J56" s="4"/>
      <c r="K56" s="4"/>
    </row>
    <row r="57" spans="1:11" ht="24" customHeight="1" x14ac:dyDescent="0.25">
      <c r="A57" s="4"/>
      <c r="B57" s="1436" t="s">
        <v>1863</v>
      </c>
      <c r="C57" s="1437"/>
      <c r="D57" s="1437"/>
      <c r="E57" s="1437"/>
      <c r="F57" s="1438"/>
      <c r="G57" s="565" t="s">
        <v>129</v>
      </c>
      <c r="H57" s="1441"/>
      <c r="I57" s="1442"/>
      <c r="J57" s="4"/>
      <c r="K57" s="4"/>
    </row>
    <row r="58" spans="1:11" ht="18.75" customHeight="1" x14ac:dyDescent="0.25">
      <c r="A58" s="4"/>
      <c r="B58" s="4"/>
      <c r="C58" s="4"/>
      <c r="D58" s="4"/>
      <c r="E58" s="4"/>
      <c r="F58" s="4"/>
      <c r="G58" s="4"/>
      <c r="H58" s="4"/>
      <c r="I58" s="4"/>
      <c r="J58" s="4"/>
      <c r="K58" s="4"/>
    </row>
    <row r="59" spans="1:11" ht="18.75" customHeight="1" x14ac:dyDescent="0.25">
      <c r="A59" s="1799" t="s">
        <v>25</v>
      </c>
      <c r="B59" s="1799"/>
      <c r="C59" s="1799"/>
      <c r="D59" s="1799"/>
      <c r="E59" s="1799"/>
      <c r="F59" s="1799"/>
      <c r="G59" s="1799"/>
      <c r="H59" s="1799"/>
      <c r="I59" s="1799"/>
      <c r="J59" s="1799"/>
      <c r="K59" s="1799"/>
    </row>
    <row r="60" spans="1:11" ht="14.25" customHeight="1" x14ac:dyDescent="0.25">
      <c r="A60" s="4"/>
      <c r="B60" s="4"/>
      <c r="C60" s="4"/>
      <c r="D60" s="4"/>
      <c r="E60" s="4"/>
      <c r="F60" s="4"/>
      <c r="G60" s="4"/>
      <c r="H60" s="4"/>
      <c r="I60" s="4"/>
      <c r="J60" s="4"/>
      <c r="K60" s="4"/>
    </row>
    <row r="61" spans="1:11" ht="18" customHeight="1" x14ac:dyDescent="0.25">
      <c r="A61" s="4"/>
      <c r="B61" s="319" t="s">
        <v>56</v>
      </c>
      <c r="C61" s="1193">
        <f>IF(D51&gt;=0.5,2,IF(D51&gt;=0.25,1,0))</f>
        <v>0</v>
      </c>
      <c r="D61" s="4"/>
      <c r="E61" s="4"/>
      <c r="F61" s="4"/>
      <c r="G61" s="4"/>
      <c r="H61" s="4"/>
      <c r="I61" s="4"/>
      <c r="J61" s="4"/>
      <c r="K61" s="4"/>
    </row>
    <row r="62" spans="1:11" ht="18" customHeight="1" x14ac:dyDescent="0.25">
      <c r="A62" s="4"/>
      <c r="B62" s="320" t="s">
        <v>521</v>
      </c>
      <c r="C62" s="1193" t="str">
        <f>IF(AND(COUNTIF(G56:G57,"Submitted")=2,C61&gt;0),"Yes","No")</f>
        <v>No</v>
      </c>
      <c r="D62" s="4"/>
      <c r="E62" s="4"/>
      <c r="F62" s="4"/>
      <c r="G62" s="4"/>
      <c r="H62" s="4"/>
      <c r="I62" s="4"/>
      <c r="J62" s="4"/>
      <c r="K62" s="4"/>
    </row>
    <row r="63" spans="1:11" ht="14.25" customHeight="1" x14ac:dyDescent="0.25">
      <c r="A63" s="4"/>
      <c r="B63" s="4"/>
      <c r="C63" s="4"/>
      <c r="D63" s="4"/>
      <c r="E63" s="4"/>
      <c r="F63" s="4"/>
      <c r="G63" s="4"/>
      <c r="H63" s="4"/>
      <c r="I63" s="4"/>
      <c r="J63" s="4"/>
      <c r="K63" s="4"/>
    </row>
    <row r="64" spans="1:11" ht="14.25" customHeight="1" x14ac:dyDescent="0.25">
      <c r="A64" s="4"/>
      <c r="B64" s="4"/>
      <c r="C64" s="4"/>
      <c r="D64" s="4"/>
      <c r="E64" s="4"/>
      <c r="F64" s="4"/>
      <c r="G64" s="4"/>
      <c r="H64" s="4"/>
      <c r="I64" s="4"/>
      <c r="J64" s="4"/>
      <c r="K64" s="4"/>
    </row>
    <row r="65" spans="1:11" hidden="1" x14ac:dyDescent="0.25">
      <c r="A65" s="4"/>
      <c r="B65" s="4"/>
      <c r="C65" s="4"/>
      <c r="D65" s="4"/>
      <c r="E65" s="4"/>
      <c r="F65" s="4"/>
      <c r="G65" s="4"/>
      <c r="H65" s="4"/>
      <c r="I65" s="4"/>
      <c r="J65" s="4"/>
      <c r="K65" s="4"/>
    </row>
    <row r="66" spans="1:11" hidden="1" x14ac:dyDescent="0.25">
      <c r="A66" s="4"/>
      <c r="B66" s="4"/>
      <c r="C66" s="4"/>
      <c r="D66" s="4"/>
      <c r="E66" s="4"/>
      <c r="F66" s="4"/>
      <c r="G66" s="4"/>
      <c r="H66" s="4"/>
      <c r="I66" s="4"/>
      <c r="J66" s="4"/>
      <c r="K66" s="4"/>
    </row>
    <row r="67" spans="1:11" ht="15" hidden="1" customHeight="1" x14ac:dyDescent="0.25"/>
    <row r="68" spans="1:11" ht="15" hidden="1" customHeight="1" x14ac:dyDescent="0.25"/>
    <row r="69" spans="1:11" ht="15" hidden="1" customHeight="1" x14ac:dyDescent="0.25"/>
    <row r="70" spans="1:11" ht="15" hidden="1" customHeight="1" x14ac:dyDescent="0.25"/>
    <row r="71" spans="1:11" ht="15" hidden="1" customHeight="1" x14ac:dyDescent="0.25"/>
    <row r="72" spans="1:11" ht="15" hidden="1" customHeight="1" x14ac:dyDescent="0.25"/>
    <row r="73" spans="1:11" ht="15" hidden="1" customHeight="1" x14ac:dyDescent="0.25"/>
    <row r="74" spans="1:11" ht="15" hidden="1" customHeight="1" x14ac:dyDescent="0.25"/>
    <row r="75" spans="1:11" ht="15" hidden="1" customHeight="1" x14ac:dyDescent="0.25"/>
    <row r="76" spans="1:11" ht="15" hidden="1" customHeight="1" x14ac:dyDescent="0.25"/>
    <row r="77" spans="1:11" ht="15" hidden="1" customHeight="1" x14ac:dyDescent="0.25"/>
    <row r="78" spans="1:11" ht="15" hidden="1" customHeight="1" x14ac:dyDescent="0.25"/>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sheetData>
  <sheetProtection algorithmName="SHA-512" hashValue="fkz3jUAf+BdPL+JXj2dOXfXNiJ0MhWguvK+d/sS+qSKPVdBCXIcirYCKEOGDfZCFuLbM8ocfnsjyF61fMDXdpQ==" saltValue="b4KK3wPD1tcnj5gX7nZ2AQ==" spinCount="100000" sheet="1" objects="1" scenarios="1"/>
  <mergeCells count="56">
    <mergeCell ref="F37:G37"/>
    <mergeCell ref="A9:K9"/>
    <mergeCell ref="A26:K26"/>
    <mergeCell ref="B20:I20"/>
    <mergeCell ref="B21:I21"/>
    <mergeCell ref="B22:I22"/>
    <mergeCell ref="B23:I23"/>
    <mergeCell ref="B24:I24"/>
    <mergeCell ref="F47:G47"/>
    <mergeCell ref="B49:C49"/>
    <mergeCell ref="B12:E12"/>
    <mergeCell ref="F32:G32"/>
    <mergeCell ref="A14:K14"/>
    <mergeCell ref="D32:E32"/>
    <mergeCell ref="F33:G33"/>
    <mergeCell ref="F34:G34"/>
    <mergeCell ref="F35:G35"/>
    <mergeCell ref="F38:G38"/>
    <mergeCell ref="D33:E33"/>
    <mergeCell ref="D34:E34"/>
    <mergeCell ref="D35:E35"/>
    <mergeCell ref="D36:E36"/>
    <mergeCell ref="D37:E37"/>
    <mergeCell ref="D38:E38"/>
    <mergeCell ref="A5:K7"/>
    <mergeCell ref="B11:E11"/>
    <mergeCell ref="A59:K59"/>
    <mergeCell ref="A53:K53"/>
    <mergeCell ref="F40:G40"/>
    <mergeCell ref="F42:G42"/>
    <mergeCell ref="F43:G43"/>
    <mergeCell ref="F44:G44"/>
    <mergeCell ref="B50:C50"/>
    <mergeCell ref="B51:C51"/>
    <mergeCell ref="F41:G41"/>
    <mergeCell ref="F45:G45"/>
    <mergeCell ref="F46:G46"/>
    <mergeCell ref="B56:F56"/>
    <mergeCell ref="B55:F55"/>
    <mergeCell ref="B57:F57"/>
    <mergeCell ref="H55:I55"/>
    <mergeCell ref="H56:I56"/>
    <mergeCell ref="H57:I57"/>
    <mergeCell ref="A1:K1"/>
    <mergeCell ref="D44:E44"/>
    <mergeCell ref="D45:E45"/>
    <mergeCell ref="D46:E46"/>
    <mergeCell ref="D47:E47"/>
    <mergeCell ref="D39:E39"/>
    <mergeCell ref="D40:E40"/>
    <mergeCell ref="D41:E41"/>
    <mergeCell ref="D42:E42"/>
    <mergeCell ref="D43:E43"/>
    <mergeCell ref="F39:G39"/>
    <mergeCell ref="F36:G36"/>
    <mergeCell ref="H2:I4"/>
  </mergeCells>
  <conditionalFormatting sqref="F12 B12">
    <cfRule type="expression" dxfId="140" priority="8">
      <formula>OR(#REF!="No",#REF!="Không")</formula>
    </cfRule>
  </conditionalFormatting>
  <conditionalFormatting sqref="F12 B12">
    <cfRule type="expression" dxfId="139" priority="9">
      <formula>OR($D12="No",$D12="Không")</formula>
    </cfRule>
    <cfRule type="expression" dxfId="138" priority="10">
      <formula>OR(#REF!="No",#REF!="Không")</formula>
    </cfRule>
  </conditionalFormatting>
  <conditionalFormatting sqref="G56">
    <cfRule type="expression" dxfId="137" priority="5">
      <formula>#REF!&lt;&gt;"Prescriptive Path"</formula>
    </cfRule>
  </conditionalFormatting>
  <conditionalFormatting sqref="G57">
    <cfRule type="expression" dxfId="136" priority="4">
      <formula>#REF!&lt;&gt;"Prescriptive Path"</formula>
    </cfRule>
  </conditionalFormatting>
  <conditionalFormatting sqref="H55:I55">
    <cfRule type="expression" dxfId="135" priority="3">
      <formula>#REF!&lt;&gt;"Prescriptive Path"</formula>
    </cfRule>
  </conditionalFormatting>
  <conditionalFormatting sqref="I56">
    <cfRule type="expression" dxfId="134" priority="2">
      <formula>#REF!&lt;&gt;"Prescriptive Path"</formula>
    </cfRule>
  </conditionalFormatting>
  <conditionalFormatting sqref="I57">
    <cfRule type="expression" dxfId="133" priority="1">
      <formula>#REF!&lt;&gt;"Prescriptive Path"</formula>
    </cfRule>
  </conditionalFormatting>
  <dataValidations count="4">
    <dataValidation allowBlank="1" showInputMessage="1" showErrorMessage="1" prompt="Describe the sustainable features of the furniture" sqref="F32:G47"/>
    <dataValidation type="list" allowBlank="1" showInputMessage="1" showErrorMessage="1" sqref="G56:G57">
      <formula1>"Select,Submitted,Not submitted"</formula1>
    </dataValidation>
    <dataValidation allowBlank="1" showInputMessage="1" showErrorMessage="1" prompt="Enter the name of the furniture item" sqref="B33:B47"/>
    <dataValidation type="list" allowBlank="1" showInputMessage="1" showErrorMessage="1" sqref="D33:E47">
      <formula1>"Select,Reused Furniture,Reused components,Rapidly renewable materials, Sustainable timber,No"</formula1>
    </dataValidation>
  </dataValidations>
  <hyperlinks>
    <hyperlink ref="J4" location="'M-3 Windows and doors'!D3" tooltip="M-3" display="M-3"/>
    <hyperlink ref="J3" location="'M-2 Non-structural walls'!D3" tooltip="M-2" display="M-2"/>
    <hyperlink ref="K3" location="'M-5 Roofing materials'!D3" tooltip="M-5" display="M-5"/>
    <hyperlink ref="K2" location="'M-4 Flooring materials'!D3" tooltip="M-4" display="M-4"/>
    <hyperlink ref="J2" location="'M-1 Structure Materials'!D3" tooltip="M-1" display="M-1"/>
  </hyperlinks>
  <pageMargins left="0.7" right="0.7" top="0.75" bottom="0.75" header="0.3" footer="0.3"/>
  <pageSetup orientation="portrait"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43634"/>
  </sheetPr>
  <dimension ref="A1:R56"/>
  <sheetViews>
    <sheetView showRowColHeaders="0" zoomScale="90" zoomScaleNormal="90" workbookViewId="0">
      <selection activeCell="E6" sqref="E6:F6"/>
    </sheetView>
  </sheetViews>
  <sheetFormatPr defaultColWidth="0" defaultRowHeight="0" customHeight="1" zeroHeight="1" x14ac:dyDescent="0.25"/>
  <cols>
    <col min="1" max="1" width="5.7109375" customWidth="1"/>
    <col min="2" max="2" width="31.7109375" customWidth="1"/>
    <col min="3" max="3" width="3.7109375" customWidth="1"/>
    <col min="4" max="4" width="11.140625" customWidth="1"/>
    <col min="5" max="6" width="20.5703125" customWidth="1"/>
    <col min="7" max="8" width="19.7109375" customWidth="1"/>
    <col min="9" max="9" width="10.42578125" customWidth="1"/>
    <col min="10" max="10" width="8" customWidth="1"/>
    <col min="11" max="12" width="4.85546875" customWidth="1"/>
    <col min="13" max="18" width="0" hidden="1" customWidth="1"/>
    <col min="19" max="16384" width="9.140625" hidden="1"/>
  </cols>
  <sheetData>
    <row r="1" spans="1:12" ht="33" customHeight="1" x14ac:dyDescent="0.25">
      <c r="A1" s="449"/>
      <c r="B1" s="1821" t="s">
        <v>11</v>
      </c>
      <c r="C1" s="450"/>
      <c r="D1" s="342"/>
      <c r="E1" s="343"/>
      <c r="F1" s="343"/>
      <c r="G1" s="343"/>
      <c r="H1" s="343"/>
      <c r="I1" s="343"/>
      <c r="J1" s="343"/>
      <c r="K1" s="343"/>
      <c r="L1" s="344"/>
    </row>
    <row r="2" spans="1:12" ht="27" customHeight="1" x14ac:dyDescent="0.25">
      <c r="A2" s="451"/>
      <c r="B2" s="1822"/>
      <c r="C2" s="452"/>
      <c r="D2" s="345"/>
      <c r="E2" s="346"/>
      <c r="F2" s="346"/>
      <c r="G2" s="346"/>
      <c r="H2" s="346"/>
      <c r="I2" s="346"/>
      <c r="J2" s="346"/>
      <c r="K2" s="346"/>
      <c r="L2" s="347"/>
    </row>
    <row r="3" spans="1:12" ht="25.5" customHeight="1" x14ac:dyDescent="0.25">
      <c r="A3" s="451"/>
      <c r="B3" s="1822"/>
      <c r="C3" s="452"/>
      <c r="D3" s="345"/>
      <c r="E3" s="346"/>
      <c r="F3" s="346"/>
      <c r="G3" s="346"/>
      <c r="H3" s="346"/>
      <c r="I3" s="346"/>
      <c r="J3" s="346"/>
      <c r="K3" s="346"/>
      <c r="L3" s="347"/>
    </row>
    <row r="4" spans="1:12" ht="18.75" customHeight="1" x14ac:dyDescent="0.25">
      <c r="A4" s="451"/>
      <c r="B4" s="453"/>
      <c r="C4" s="454"/>
      <c r="D4" s="345"/>
      <c r="E4" s="1823" t="s">
        <v>391</v>
      </c>
      <c r="F4" s="1824"/>
      <c r="G4" s="1827" t="s">
        <v>392</v>
      </c>
      <c r="H4" s="1827" t="s">
        <v>56</v>
      </c>
      <c r="I4" s="346"/>
      <c r="J4" s="346"/>
      <c r="K4" s="346"/>
      <c r="L4" s="347"/>
    </row>
    <row r="5" spans="1:12" ht="15" customHeight="1" x14ac:dyDescent="0.25">
      <c r="A5" s="451"/>
      <c r="B5" s="1829" t="str">
        <f>IF(A1="","To ensure high indoor environmental quality, through the optimisation of indoor air quality, daylighting, and thermal comfort.","Nhằm đảm bảo chất lượng môi trường trong nhà qua việc tận dụng tối đa chiếu sáng tự nhiên, mở rộng tầm nhìn, tối ưu hóa chất lượng không khí trong nhà, đảm bảo tiện nghi nhiệt và giảm tiếng ồn.")</f>
        <v>To ensure high indoor environmental quality, through the optimisation of indoor air quality, daylighting, and thermal comfort.</v>
      </c>
      <c r="C5" s="455"/>
      <c r="D5" s="345"/>
      <c r="E5" s="1825"/>
      <c r="F5" s="1826"/>
      <c r="G5" s="1827"/>
      <c r="H5" s="1827"/>
      <c r="I5" s="346"/>
      <c r="J5" s="346"/>
      <c r="K5" s="346"/>
      <c r="L5" s="347"/>
    </row>
    <row r="6" spans="1:12" ht="21.75" customHeight="1" x14ac:dyDescent="0.25">
      <c r="A6" s="451"/>
      <c r="B6" s="1829"/>
      <c r="C6" s="455"/>
      <c r="D6" s="345"/>
      <c r="E6" s="1828" t="s">
        <v>12</v>
      </c>
      <c r="F6" s="1828"/>
      <c r="G6" s="183">
        <v>2</v>
      </c>
      <c r="H6" s="183">
        <f>'H-1 Fresh Air Supply'!G12</f>
        <v>0</v>
      </c>
      <c r="I6" s="346"/>
      <c r="J6" s="346"/>
      <c r="K6" s="346"/>
      <c r="L6" s="347"/>
    </row>
    <row r="7" spans="1:12" ht="21.75" customHeight="1" x14ac:dyDescent="0.25">
      <c r="A7" s="451"/>
      <c r="B7" s="1829"/>
      <c r="C7" s="455"/>
      <c r="D7" s="345"/>
      <c r="E7" s="1828" t="s">
        <v>13</v>
      </c>
      <c r="F7" s="1828"/>
      <c r="G7" s="183">
        <v>1</v>
      </c>
      <c r="H7" s="183">
        <f>'H-2 Ventilation in wet areas'!G12</f>
        <v>0</v>
      </c>
      <c r="I7" s="346"/>
      <c r="J7" s="346"/>
      <c r="K7" s="346"/>
      <c r="L7" s="347"/>
    </row>
    <row r="8" spans="1:12" ht="21.75" customHeight="1" x14ac:dyDescent="0.25">
      <c r="A8" s="451"/>
      <c r="B8" s="1829"/>
      <c r="C8" s="455"/>
      <c r="D8" s="345"/>
      <c r="E8" s="1828" t="s">
        <v>2234</v>
      </c>
      <c r="F8" s="1828"/>
      <c r="G8" s="183">
        <v>4</v>
      </c>
      <c r="H8" s="183">
        <f>'H-3 Low-VOC Emissions '!G17</f>
        <v>0</v>
      </c>
      <c r="I8" s="346"/>
      <c r="J8" s="346"/>
      <c r="K8" s="346"/>
      <c r="L8" s="347"/>
    </row>
    <row r="9" spans="1:12" ht="21.75" customHeight="1" x14ac:dyDescent="0.25">
      <c r="A9" s="456"/>
      <c r="B9" s="1829"/>
      <c r="C9" s="455"/>
      <c r="D9" s="345"/>
      <c r="E9" s="1828" t="s">
        <v>137</v>
      </c>
      <c r="F9" s="1828"/>
      <c r="G9" s="183">
        <v>3</v>
      </c>
      <c r="H9" s="183">
        <f>'H-4 Daylighting'!K14+'H-4 Daylighting'!K17</f>
        <v>0</v>
      </c>
      <c r="I9" s="346"/>
      <c r="J9" s="346"/>
      <c r="K9" s="346"/>
      <c r="L9" s="347"/>
    </row>
    <row r="10" spans="1:12" ht="21.75" customHeight="1" x14ac:dyDescent="0.25">
      <c r="A10" s="456"/>
      <c r="B10" s="1829"/>
      <c r="C10" s="455"/>
      <c r="D10" s="345"/>
      <c r="E10" s="1828" t="s">
        <v>808</v>
      </c>
      <c r="F10" s="1828"/>
      <c r="G10" s="183">
        <v>1</v>
      </c>
      <c r="H10" s="183">
        <f>'H-5 Acoustic Comfort'!G12</f>
        <v>0</v>
      </c>
      <c r="I10" s="346"/>
      <c r="J10" s="346"/>
      <c r="K10" s="346"/>
      <c r="L10" s="347"/>
    </row>
    <row r="11" spans="1:12" ht="21.75" customHeight="1" x14ac:dyDescent="0.25">
      <c r="A11" s="456"/>
      <c r="B11" s="1829"/>
      <c r="C11" s="455"/>
      <c r="D11" s="345"/>
      <c r="E11" s="1828" t="s">
        <v>393</v>
      </c>
      <c r="F11" s="1828"/>
      <c r="G11" s="183">
        <v>3</v>
      </c>
      <c r="H11" s="183">
        <f>SUM('H&amp;C BPC'!G11:G13)</f>
        <v>0</v>
      </c>
      <c r="I11" s="346"/>
      <c r="J11" s="346"/>
      <c r="K11" s="346"/>
      <c r="L11" s="347"/>
    </row>
    <row r="12" spans="1:12" ht="23.25" customHeight="1" x14ac:dyDescent="0.25">
      <c r="A12" s="456"/>
      <c r="B12" s="459"/>
      <c r="C12" s="455"/>
      <c r="D12" s="345"/>
      <c r="E12" s="117" t="s">
        <v>82</v>
      </c>
      <c r="F12" s="118"/>
      <c r="G12" s="119">
        <f>SUM(G6:G11)</f>
        <v>14</v>
      </c>
      <c r="H12" s="119">
        <f>SUM(H6:H11)</f>
        <v>0</v>
      </c>
      <c r="I12" s="346"/>
      <c r="J12" s="346"/>
      <c r="K12" s="346"/>
      <c r="L12" s="347"/>
    </row>
    <row r="13" spans="1:12" ht="15" customHeight="1" x14ac:dyDescent="0.25">
      <c r="A13" s="456"/>
      <c r="B13" s="459"/>
      <c r="C13" s="455"/>
      <c r="D13" s="345"/>
      <c r="E13" s="346"/>
      <c r="F13" s="346"/>
      <c r="G13" s="346"/>
      <c r="H13" s="346"/>
      <c r="I13" s="346"/>
      <c r="J13" s="346"/>
      <c r="K13" s="346"/>
      <c r="L13" s="347"/>
    </row>
    <row r="14" spans="1:12" ht="15" customHeight="1" x14ac:dyDescent="0.25">
      <c r="A14" s="456"/>
      <c r="B14" s="459"/>
      <c r="C14" s="455"/>
      <c r="D14" s="345"/>
      <c r="E14" s="346"/>
      <c r="F14" s="346"/>
      <c r="G14" s="346"/>
      <c r="H14" s="346"/>
      <c r="I14" s="346"/>
      <c r="J14" s="346"/>
      <c r="K14" s="346"/>
      <c r="L14" s="347"/>
    </row>
    <row r="15" spans="1:12" ht="15" customHeight="1" x14ac:dyDescent="0.25">
      <c r="A15" s="457"/>
      <c r="B15" s="460"/>
      <c r="C15" s="458"/>
      <c r="D15" s="348"/>
      <c r="E15" s="349"/>
      <c r="F15" s="349"/>
      <c r="G15" s="349"/>
      <c r="H15" s="349"/>
      <c r="I15" s="349"/>
      <c r="J15" s="349"/>
      <c r="K15" s="349"/>
      <c r="L15" s="350"/>
    </row>
    <row r="16" spans="1:12" ht="15" hidden="1" customHeight="1" x14ac:dyDescent="0.25">
      <c r="A16" s="456"/>
      <c r="B16" s="459"/>
      <c r="C16" s="455"/>
      <c r="D16" s="1"/>
      <c r="E16" s="1"/>
      <c r="F16" s="1"/>
      <c r="G16" s="1"/>
      <c r="H16" s="1"/>
      <c r="I16" s="1"/>
      <c r="J16" s="1"/>
      <c r="K16" s="1"/>
      <c r="L16" s="1"/>
    </row>
    <row r="17" spans="1:12" ht="15" hidden="1" customHeight="1" x14ac:dyDescent="0.25">
      <c r="A17" s="456"/>
      <c r="B17" s="459"/>
      <c r="C17" s="455"/>
      <c r="D17" s="1"/>
      <c r="E17" s="1"/>
      <c r="F17" s="1"/>
      <c r="G17" s="1"/>
      <c r="H17" s="1"/>
      <c r="I17" s="1"/>
      <c r="J17" s="1"/>
      <c r="K17" s="1"/>
      <c r="L17" s="1"/>
    </row>
    <row r="18" spans="1:12" ht="15" hidden="1" customHeight="1" x14ac:dyDescent="0.25">
      <c r="A18" s="456"/>
      <c r="B18" s="459"/>
      <c r="C18" s="455"/>
      <c r="D18" s="1"/>
      <c r="E18" s="1"/>
      <c r="F18" s="1"/>
      <c r="G18" s="1"/>
      <c r="H18" s="1"/>
      <c r="I18" s="1"/>
      <c r="J18" s="1"/>
      <c r="K18" s="1"/>
      <c r="L18" s="1"/>
    </row>
    <row r="19" spans="1:12" ht="15" hidden="1" customHeight="1" x14ac:dyDescent="0.25">
      <c r="A19" s="457"/>
      <c r="B19" s="460"/>
      <c r="C19" s="458"/>
      <c r="D19" s="1"/>
      <c r="E19" s="1"/>
      <c r="F19" s="1"/>
      <c r="G19" s="1"/>
      <c r="H19" s="1"/>
      <c r="I19" s="1"/>
      <c r="J19" s="1"/>
      <c r="K19" s="1"/>
      <c r="L19" s="1"/>
    </row>
    <row r="20" spans="1:12" ht="15" hidden="1" customHeight="1" x14ac:dyDescent="0.25">
      <c r="A20" s="1"/>
      <c r="B20" s="2"/>
      <c r="C20" s="2"/>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E44" s="1"/>
      <c r="F44" s="1"/>
      <c r="G44" s="1"/>
      <c r="H44" s="1"/>
      <c r="I44" s="1"/>
      <c r="J44" s="1"/>
      <c r="K44" s="1"/>
      <c r="L44" s="1"/>
    </row>
    <row r="45" spans="1:12" ht="15" hidden="1" customHeight="1" x14ac:dyDescent="0.25">
      <c r="A45" s="1"/>
      <c r="B45" s="2"/>
      <c r="C45" s="2"/>
      <c r="D45" s="1"/>
      <c r="E45" s="1"/>
      <c r="F45" s="1"/>
      <c r="G45" s="1"/>
      <c r="H45" s="1"/>
      <c r="I45" s="1"/>
      <c r="J45" s="1"/>
      <c r="K45" s="1"/>
      <c r="L45" s="1"/>
    </row>
    <row r="46" spans="1:12" ht="15" hidden="1" customHeight="1" x14ac:dyDescent="0.25">
      <c r="D46" s="1"/>
      <c r="E46" s="1"/>
      <c r="F46" s="1"/>
      <c r="G46" s="1"/>
      <c r="H46" s="1"/>
      <c r="I46" s="1"/>
    </row>
    <row r="47" spans="1:12" ht="15" hidden="1" customHeight="1" x14ac:dyDescent="0.25">
      <c r="D47" s="1"/>
    </row>
    <row r="48" spans="1:12" ht="15" hidden="1" customHeight="1" x14ac:dyDescent="0.25">
      <c r="D48" s="1"/>
    </row>
    <row r="49" spans="4:4" ht="15" hidden="1" customHeight="1" x14ac:dyDescent="0.25">
      <c r="D49" s="1"/>
    </row>
    <row r="50" spans="4:4" ht="15" hidden="1" customHeight="1" x14ac:dyDescent="0.25"/>
    <row r="51" spans="4:4" ht="15" hidden="1" customHeight="1" x14ac:dyDescent="0.25"/>
    <row r="52" spans="4:4" ht="15" hidden="1" customHeight="1" x14ac:dyDescent="0.25"/>
    <row r="53" spans="4:4" ht="15" hidden="1" customHeight="1" x14ac:dyDescent="0.25"/>
    <row r="54" spans="4:4" ht="15" hidden="1" customHeight="1" x14ac:dyDescent="0.25"/>
    <row r="55" spans="4:4" ht="15" hidden="1" customHeight="1" x14ac:dyDescent="0.25"/>
    <row r="56" spans="4:4" ht="15" hidden="1" customHeight="1" x14ac:dyDescent="0.25"/>
  </sheetData>
  <sheetProtection algorithmName="SHA-512" hashValue="V+m6Y+VTSk7uwmKYtt6fA3NCF9zD8CxMQ8u+A+v4l6guaGXeBD5+ESYB2bjFrRSHziX3zI35v0f0efQXjr/r2g==" saltValue="tlSvRTAYpXIwgbCgKqpryw==" spinCount="100000" sheet="1" objects="1" scenarios="1"/>
  <mergeCells count="11">
    <mergeCell ref="B1:B3"/>
    <mergeCell ref="E4:F5"/>
    <mergeCell ref="G4:G5"/>
    <mergeCell ref="H4:H5"/>
    <mergeCell ref="E6:F6"/>
    <mergeCell ref="B5:B11"/>
    <mergeCell ref="E7:F7"/>
    <mergeCell ref="E8:F8"/>
    <mergeCell ref="E9:F9"/>
    <mergeCell ref="E10:F10"/>
    <mergeCell ref="E11:F11"/>
  </mergeCells>
  <hyperlinks>
    <hyperlink ref="E6" location="'H-1 Fresh Air Supply'!A1" tooltip="H-1 Fresh Air Supply" display="H-1 Fresh Air Supply"/>
    <hyperlink ref="E7" location="'H-2 Ventilation in wet areas'!A1" tooltip="H-2 Ventilation in Wet Areas" display="H-2 Ventilation in Wet Areas"/>
    <hyperlink ref="E8" location="'H-3 Hazardous Materials'!A1" tooltip="H-3 Hazardous Materials" display="H-3 Hazardous Materials"/>
    <hyperlink ref="E9" location="'H-4 Daylighting'!A1" tooltip="H-4 Daylighting" display="H-4 Daylighting"/>
    <hyperlink ref="E10:F10" location="'H-5 Acoustic Comfort'!E3" tooltip="H-5 Acoustic Comfort" display="H-5 Acoustic Comfort"/>
    <hyperlink ref="E11:F11" location="'H&amp;C BPC'!D3" tooltip="Best Practice Credits" display="Best Practice Credits"/>
    <hyperlink ref="E6:F6" location="'H-1 Fresh Air Supply'!B3" tooltip="H-1 Fresh Air Supply" display="H-1 Fresh Air Supply"/>
    <hyperlink ref="E7:F7" location="'H-2 Ventilation in wet areas'!E3" tooltip="H-2 Ventilation in Wet Areas" display="H-2 Ventilation in Wet Areas"/>
    <hyperlink ref="E8:F8" location="'H-3 Low-VOC Emissions '!B3" tooltip="H-3 Low-VOC Emissions" display="H-3 Low-VOC Emissions"/>
    <hyperlink ref="E9:F9" location="'H-4 Daylighting'!E3" tooltip="H-4 Daylighting" display="H-4 Daylighting"/>
  </hyperlinks>
  <pageMargins left="0.7" right="0.7" top="0.75" bottom="0.75" header="0.3" footer="0.3"/>
  <pageSetup orientation="portrait" verticalDpi="0" r:id="rId1"/>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943634"/>
  </sheetPr>
  <dimension ref="A1:AJ122"/>
  <sheetViews>
    <sheetView showRowColHeaders="0" workbookViewId="0">
      <pane ySplit="8" topLeftCell="A24" activePane="bottomLeft" state="frozen"/>
      <selection pane="bottomLeft" activeCell="D39" sqref="D39:E39"/>
    </sheetView>
  </sheetViews>
  <sheetFormatPr defaultColWidth="0" defaultRowHeight="15" customHeight="1" zeroHeight="1" x14ac:dyDescent="0.25"/>
  <cols>
    <col min="1" max="1" width="5.85546875" style="42" customWidth="1"/>
    <col min="2" max="3" width="20.85546875" style="42" customWidth="1"/>
    <col min="4" max="4" width="21.5703125" style="42" customWidth="1"/>
    <col min="5" max="5" width="20.85546875" style="42" customWidth="1"/>
    <col min="6" max="6" width="18.42578125" style="42" customWidth="1"/>
    <col min="7" max="7" width="19.42578125" style="42" customWidth="1"/>
    <col min="8" max="8" width="20.140625" style="42" customWidth="1"/>
    <col min="9" max="9" width="12.85546875" style="42" customWidth="1"/>
    <col min="10" max="10" width="14.85546875" style="42" customWidth="1"/>
    <col min="11" max="11" width="9.7109375" style="42" customWidth="1"/>
    <col min="12" max="13" width="8.7109375" style="42" customWidth="1"/>
    <col min="14" max="16384" width="9.140625" style="42" hidden="1"/>
  </cols>
  <sheetData>
    <row r="1" spans="1:24" ht="23.25" x14ac:dyDescent="0.25">
      <c r="A1" s="1207" t="s">
        <v>12</v>
      </c>
      <c r="B1" s="1207"/>
      <c r="C1" s="1207"/>
      <c r="D1" s="1207"/>
      <c r="E1" s="1207"/>
      <c r="F1" s="1207"/>
      <c r="G1" s="1207"/>
      <c r="H1" s="1207"/>
      <c r="I1" s="1207"/>
      <c r="J1" s="1207"/>
      <c r="K1" s="1207"/>
      <c r="L1" s="1207"/>
      <c r="M1" s="1207"/>
    </row>
    <row r="2" spans="1:24" ht="15" customHeight="1" x14ac:dyDescent="0.25">
      <c r="A2" s="53"/>
      <c r="B2" s="54"/>
      <c r="C2" s="54"/>
      <c r="D2" s="54"/>
      <c r="E2" s="54"/>
      <c r="F2" s="53"/>
      <c r="G2" s="53"/>
      <c r="H2" s="1426" t="s">
        <v>844</v>
      </c>
      <c r="I2" s="1426"/>
      <c r="J2" s="1426"/>
      <c r="K2" s="1426"/>
      <c r="L2" s="822" t="s">
        <v>85</v>
      </c>
      <c r="M2" s="822" t="s">
        <v>806</v>
      </c>
    </row>
    <row r="3" spans="1:24" ht="15" customHeight="1" x14ac:dyDescent="0.25">
      <c r="A3" s="53"/>
      <c r="B3" s="54"/>
      <c r="C3" s="54"/>
      <c r="D3" s="54"/>
      <c r="E3" s="54"/>
      <c r="F3" s="53"/>
      <c r="G3" s="53"/>
      <c r="H3" s="1426"/>
      <c r="I3" s="1426"/>
      <c r="J3" s="1426"/>
      <c r="K3" s="1426"/>
      <c r="L3" s="822" t="s">
        <v>90</v>
      </c>
      <c r="M3" s="822" t="s">
        <v>79</v>
      </c>
    </row>
    <row r="4" spans="1:24" ht="15" customHeight="1" x14ac:dyDescent="0.25">
      <c r="A4" s="53"/>
      <c r="B4" s="54"/>
      <c r="C4" s="54"/>
      <c r="D4" s="54"/>
      <c r="E4" s="54"/>
      <c r="F4" s="53"/>
      <c r="G4" s="53"/>
      <c r="H4" s="1427"/>
      <c r="I4" s="1427"/>
      <c r="J4" s="1427"/>
      <c r="K4" s="1427"/>
      <c r="L4" s="822" t="s">
        <v>95</v>
      </c>
      <c r="M4" s="823"/>
    </row>
    <row r="5" spans="1:24" ht="18" customHeight="1" x14ac:dyDescent="0.25">
      <c r="A5" s="1417" t="s">
        <v>2417</v>
      </c>
      <c r="B5" s="1418"/>
      <c r="C5" s="1418"/>
      <c r="D5" s="1418"/>
      <c r="E5" s="1418"/>
      <c r="F5" s="1418"/>
      <c r="G5" s="1418"/>
      <c r="H5" s="1418"/>
      <c r="I5" s="1418"/>
      <c r="J5" s="1418"/>
      <c r="K5" s="1418"/>
      <c r="L5" s="1418"/>
      <c r="M5" s="1418"/>
    </row>
    <row r="6" spans="1:24" ht="18" customHeight="1" x14ac:dyDescent="0.25">
      <c r="A6" s="1420"/>
      <c r="B6" s="1421"/>
      <c r="C6" s="1421"/>
      <c r="D6" s="1421"/>
      <c r="E6" s="1421"/>
      <c r="F6" s="1421"/>
      <c r="G6" s="1421"/>
      <c r="H6" s="1421"/>
      <c r="I6" s="1421"/>
      <c r="J6" s="1421"/>
      <c r="K6" s="1421"/>
      <c r="L6" s="1421"/>
      <c r="M6" s="1421"/>
    </row>
    <row r="7" spans="1:24" ht="18" customHeight="1" x14ac:dyDescent="0.25">
      <c r="A7" s="1423"/>
      <c r="B7" s="1424"/>
      <c r="C7" s="1424"/>
      <c r="D7" s="1424"/>
      <c r="E7" s="1424"/>
      <c r="F7" s="1424"/>
      <c r="G7" s="1424"/>
      <c r="H7" s="1424"/>
      <c r="I7" s="1424"/>
      <c r="J7" s="1424"/>
      <c r="K7" s="1424"/>
      <c r="L7" s="1424"/>
      <c r="M7" s="1424"/>
    </row>
    <row r="8" spans="1:24" ht="12" customHeight="1" x14ac:dyDescent="0.25">
      <c r="A8" s="53"/>
      <c r="B8" s="54"/>
      <c r="C8" s="54"/>
      <c r="D8" s="54"/>
      <c r="E8" s="54"/>
      <c r="F8" s="53"/>
      <c r="G8" s="53"/>
      <c r="H8" s="53"/>
      <c r="I8" s="53"/>
      <c r="J8" s="53"/>
      <c r="K8" s="53"/>
      <c r="L8" s="53"/>
      <c r="M8" s="53"/>
      <c r="N8" s="53"/>
    </row>
    <row r="9" spans="1:24" ht="18" customHeight="1" x14ac:dyDescent="0.25">
      <c r="A9" s="1831" t="s">
        <v>191</v>
      </c>
      <c r="B9" s="1831"/>
      <c r="C9" s="1831"/>
      <c r="D9" s="1831"/>
      <c r="E9" s="1831"/>
      <c r="F9" s="1831"/>
      <c r="G9" s="1831"/>
      <c r="H9" s="1831"/>
      <c r="I9" s="1831"/>
      <c r="J9" s="1831"/>
      <c r="K9" s="1831"/>
      <c r="L9" s="1831"/>
      <c r="M9" s="1831"/>
    </row>
    <row r="10" spans="1:24" ht="16.5" customHeight="1" x14ac:dyDescent="0.25">
      <c r="A10" s="53"/>
      <c r="B10" s="54"/>
      <c r="C10" s="54"/>
      <c r="D10" s="54"/>
      <c r="E10" s="54"/>
      <c r="F10" s="53"/>
      <c r="G10" s="53"/>
      <c r="H10" s="53"/>
      <c r="I10" s="53"/>
      <c r="J10" s="53"/>
      <c r="K10" s="53"/>
      <c r="L10" s="53"/>
      <c r="M10" s="53"/>
    </row>
    <row r="11" spans="1:24" ht="19.5" customHeight="1" x14ac:dyDescent="0.25">
      <c r="A11" s="53"/>
      <c r="B11" s="1859" t="s">
        <v>192</v>
      </c>
      <c r="C11" s="1860"/>
      <c r="D11" s="1860"/>
      <c r="E11" s="1860"/>
      <c r="F11" s="651" t="s">
        <v>157</v>
      </c>
      <c r="G11" s="651" t="s">
        <v>56</v>
      </c>
      <c r="H11" s="55" t="s">
        <v>521</v>
      </c>
      <c r="I11" s="53"/>
      <c r="J11" s="53"/>
      <c r="K11" s="53"/>
      <c r="L11" s="53"/>
      <c r="M11" s="53"/>
    </row>
    <row r="12" spans="1:24" ht="19.5" customHeight="1" x14ac:dyDescent="0.25">
      <c r="A12" s="53"/>
      <c r="B12" s="1622" t="s">
        <v>237</v>
      </c>
      <c r="C12" s="1623"/>
      <c r="D12" s="1623"/>
      <c r="E12" s="1624"/>
      <c r="F12" s="59">
        <v>2</v>
      </c>
      <c r="G12" s="298">
        <f>C108</f>
        <v>0</v>
      </c>
      <c r="H12" s="298" t="str">
        <f>C109</f>
        <v>No</v>
      </c>
      <c r="I12" s="53"/>
      <c r="J12" s="53"/>
      <c r="K12" s="53"/>
      <c r="L12" s="53"/>
      <c r="M12" s="53"/>
    </row>
    <row r="13" spans="1:24" ht="16.5" customHeight="1" x14ac:dyDescent="0.25">
      <c r="A13" s="53"/>
      <c r="B13" s="54"/>
      <c r="C13" s="54"/>
      <c r="D13" s="54"/>
      <c r="E13" s="54"/>
      <c r="F13" s="53"/>
      <c r="G13" s="53"/>
      <c r="H13" s="53"/>
      <c r="I13" s="53"/>
      <c r="J13" s="53"/>
      <c r="K13" s="53"/>
      <c r="L13" s="53"/>
      <c r="M13" s="53"/>
    </row>
    <row r="14" spans="1:24" ht="18" customHeight="1" x14ac:dyDescent="0.25">
      <c r="A14" s="1831" t="s">
        <v>265</v>
      </c>
      <c r="B14" s="1831"/>
      <c r="C14" s="1831"/>
      <c r="D14" s="1831"/>
      <c r="E14" s="1831"/>
      <c r="F14" s="1831"/>
      <c r="G14" s="1831"/>
      <c r="H14" s="1831"/>
      <c r="I14" s="1831"/>
      <c r="J14" s="1831"/>
      <c r="K14" s="1831"/>
      <c r="L14" s="1831"/>
      <c r="M14" s="1831"/>
    </row>
    <row r="15" spans="1:24" x14ac:dyDescent="0.25">
      <c r="A15" s="53"/>
      <c r="B15" s="54"/>
      <c r="C15" s="54"/>
      <c r="D15" s="54"/>
      <c r="E15" s="54"/>
      <c r="F15" s="54"/>
      <c r="G15" s="53"/>
      <c r="H15" s="53"/>
      <c r="I15" s="53"/>
      <c r="J15" s="53"/>
      <c r="K15" s="53"/>
      <c r="L15" s="53"/>
      <c r="M15" s="53"/>
      <c r="S15" s="1171">
        <v>2.1</v>
      </c>
      <c r="T15" s="1172" t="s">
        <v>2289</v>
      </c>
      <c r="U15" s="1172">
        <v>3</v>
      </c>
      <c r="V15" s="1172">
        <v>40</v>
      </c>
      <c r="W15" s="1172"/>
      <c r="X15" s="1173">
        <f t="shared" ref="X15:X29" si="0">V15/U15</f>
        <v>13.333333333333334</v>
      </c>
    </row>
    <row r="16" spans="1:24" x14ac:dyDescent="0.25">
      <c r="A16" s="53"/>
      <c r="B16" s="716" t="s">
        <v>2290</v>
      </c>
      <c r="C16" s="54"/>
      <c r="D16" s="54"/>
      <c r="E16" s="54"/>
      <c r="F16" s="54"/>
      <c r="G16" s="53"/>
      <c r="H16" s="53"/>
      <c r="I16" s="53"/>
      <c r="J16" s="53"/>
      <c r="K16" s="53"/>
      <c r="L16" s="53"/>
      <c r="M16" s="53"/>
      <c r="S16" s="1171">
        <v>3.1</v>
      </c>
      <c r="T16" s="1172" t="s">
        <v>2291</v>
      </c>
      <c r="U16" s="1172">
        <v>1.4</v>
      </c>
      <c r="V16" s="1172">
        <v>30</v>
      </c>
      <c r="W16" s="1172"/>
      <c r="X16" s="1173">
        <f t="shared" si="0"/>
        <v>21.428571428571431</v>
      </c>
    </row>
    <row r="17" spans="1:24" x14ac:dyDescent="0.25">
      <c r="A17" s="53"/>
      <c r="B17" s="54"/>
      <c r="C17" s="54"/>
      <c r="D17" s="54"/>
      <c r="E17" s="54"/>
      <c r="F17" s="54"/>
      <c r="G17" s="53"/>
      <c r="H17" s="53"/>
      <c r="I17" s="53"/>
      <c r="J17" s="53"/>
      <c r="K17" s="53"/>
      <c r="L17" s="53"/>
      <c r="M17" s="53"/>
      <c r="S17" s="1171">
        <v>3.2</v>
      </c>
      <c r="T17" s="1172" t="s">
        <v>2292</v>
      </c>
      <c r="U17" s="1172">
        <v>1</v>
      </c>
      <c r="V17" s="1172">
        <v>30</v>
      </c>
      <c r="W17" s="1172"/>
      <c r="X17" s="1173">
        <f t="shared" si="0"/>
        <v>30</v>
      </c>
    </row>
    <row r="18" spans="1:24" x14ac:dyDescent="0.25">
      <c r="A18" s="53"/>
      <c r="B18" s="54" t="s">
        <v>2293</v>
      </c>
      <c r="C18" s="54"/>
      <c r="D18" s="54"/>
      <c r="E18" s="54"/>
      <c r="F18" s="54"/>
      <c r="G18" s="53"/>
      <c r="H18" s="53"/>
      <c r="I18" s="53"/>
      <c r="J18" s="53"/>
      <c r="K18" s="53"/>
      <c r="L18" s="53"/>
      <c r="M18" s="53"/>
      <c r="S18" s="1171">
        <v>3.3</v>
      </c>
      <c r="T18" s="1172" t="s">
        <v>2294</v>
      </c>
      <c r="U18" s="1172">
        <v>1</v>
      </c>
      <c r="V18" s="1172">
        <v>35</v>
      </c>
      <c r="W18" s="1172"/>
      <c r="X18" s="1173">
        <f t="shared" si="0"/>
        <v>35</v>
      </c>
    </row>
    <row r="19" spans="1:24" ht="6.75" customHeight="1" x14ac:dyDescent="0.25">
      <c r="A19" s="53"/>
      <c r="B19" s="54"/>
      <c r="C19" s="54"/>
      <c r="D19" s="54"/>
      <c r="E19" s="54"/>
      <c r="F19" s="54"/>
      <c r="G19" s="53"/>
      <c r="H19" s="53"/>
      <c r="I19" s="53"/>
      <c r="J19" s="53"/>
      <c r="K19" s="53"/>
      <c r="L19" s="53"/>
      <c r="M19" s="53"/>
      <c r="S19" s="1171">
        <v>3.4</v>
      </c>
      <c r="T19" s="1172" t="s">
        <v>2295</v>
      </c>
      <c r="U19" s="1172">
        <v>5</v>
      </c>
      <c r="V19" s="1172">
        <v>25</v>
      </c>
      <c r="W19" s="1172"/>
      <c r="X19" s="1173">
        <f t="shared" si="0"/>
        <v>5</v>
      </c>
    </row>
    <row r="20" spans="1:24" x14ac:dyDescent="0.25">
      <c r="A20" s="53"/>
      <c r="B20" s="959" t="s">
        <v>1834</v>
      </c>
      <c r="C20" s="960"/>
      <c r="D20" s="960"/>
      <c r="E20" s="960"/>
      <c r="F20" s="960"/>
      <c r="G20" s="961"/>
      <c r="H20" s="961"/>
      <c r="I20" s="961"/>
      <c r="J20" s="961"/>
      <c r="K20" s="961"/>
      <c r="L20" s="53"/>
      <c r="M20" s="53"/>
      <c r="S20" s="1171">
        <v>4.0999999999999996</v>
      </c>
      <c r="T20" s="1172" t="s">
        <v>2296</v>
      </c>
      <c r="U20" s="1172">
        <v>0.7</v>
      </c>
      <c r="V20" s="1172">
        <v>25</v>
      </c>
      <c r="W20" s="1172"/>
      <c r="X20" s="1173">
        <f t="shared" si="0"/>
        <v>35.714285714285715</v>
      </c>
    </row>
    <row r="21" spans="1:24" x14ac:dyDescent="0.25">
      <c r="A21" s="53"/>
      <c r="B21" s="962" t="s">
        <v>967</v>
      </c>
      <c r="C21" s="960"/>
      <c r="D21" s="960"/>
      <c r="E21" s="960"/>
      <c r="F21" s="960"/>
      <c r="G21" s="961"/>
      <c r="H21" s="961"/>
      <c r="I21" s="961"/>
      <c r="J21" s="961"/>
      <c r="K21" s="961"/>
      <c r="L21" s="53"/>
      <c r="M21" s="53"/>
      <c r="S21" s="1171">
        <v>4.2</v>
      </c>
      <c r="T21" s="1172" t="s">
        <v>2297</v>
      </c>
      <c r="U21" s="1172">
        <v>0.7</v>
      </c>
      <c r="V21" s="1172">
        <v>20</v>
      </c>
      <c r="W21" s="1172"/>
      <c r="X21" s="1173">
        <f t="shared" si="0"/>
        <v>28.571428571428573</v>
      </c>
    </row>
    <row r="22" spans="1:24" ht="55.5" customHeight="1" x14ac:dyDescent="0.25">
      <c r="A22" s="53"/>
      <c r="B22" s="1855" t="s">
        <v>2298</v>
      </c>
      <c r="C22" s="1855"/>
      <c r="D22" s="1855"/>
      <c r="E22" s="1855"/>
      <c r="F22" s="1855"/>
      <c r="G22" s="1855"/>
      <c r="H22" s="1855"/>
      <c r="I22" s="1855"/>
      <c r="J22" s="1855"/>
      <c r="K22" s="1855"/>
      <c r="L22" s="1855"/>
      <c r="M22" s="53"/>
      <c r="S22" s="1171">
        <v>4.3</v>
      </c>
      <c r="T22" s="1172" t="s">
        <v>2299</v>
      </c>
      <c r="U22" s="1172">
        <v>1.5</v>
      </c>
      <c r="V22" s="1172">
        <v>25</v>
      </c>
      <c r="W22" s="1172"/>
      <c r="X22" s="1173">
        <f t="shared" si="0"/>
        <v>16.666666666666668</v>
      </c>
    </row>
    <row r="23" spans="1:24" ht="9" customHeight="1" x14ac:dyDescent="0.25">
      <c r="A23" s="53"/>
      <c r="B23" s="68"/>
      <c r="C23" s="957"/>
      <c r="D23" s="957"/>
      <c r="E23" s="957"/>
      <c r="F23" s="957"/>
      <c r="G23" s="958"/>
      <c r="H23" s="958"/>
      <c r="I23" s="958"/>
      <c r="J23" s="958"/>
      <c r="K23" s="958"/>
      <c r="L23" s="53"/>
      <c r="M23" s="53"/>
      <c r="S23" s="1171">
        <v>4.4000000000000004</v>
      </c>
      <c r="T23" s="1172" t="s">
        <v>2300</v>
      </c>
      <c r="U23" s="1172">
        <v>1.6</v>
      </c>
      <c r="V23" s="1172">
        <v>30</v>
      </c>
      <c r="W23" s="1172"/>
      <c r="X23" s="1173">
        <f t="shared" si="0"/>
        <v>18.75</v>
      </c>
    </row>
    <row r="24" spans="1:24" x14ac:dyDescent="0.25">
      <c r="A24" s="53"/>
      <c r="B24" s="959" t="s">
        <v>2301</v>
      </c>
      <c r="C24" s="957"/>
      <c r="D24" s="957"/>
      <c r="E24" s="957"/>
      <c r="F24" s="957"/>
      <c r="G24" s="958"/>
      <c r="H24" s="958"/>
      <c r="I24" s="958"/>
      <c r="J24" s="958"/>
      <c r="K24" s="958"/>
      <c r="L24" s="53"/>
      <c r="M24" s="53"/>
      <c r="S24" s="1171">
        <v>5.0999999999999996</v>
      </c>
      <c r="T24" s="1172" t="s">
        <v>2302</v>
      </c>
      <c r="U24" s="1172">
        <v>2</v>
      </c>
      <c r="V24" s="1172">
        <v>25</v>
      </c>
      <c r="W24" s="1172"/>
      <c r="X24" s="1173">
        <f t="shared" si="0"/>
        <v>12.5</v>
      </c>
    </row>
    <row r="25" spans="1:24" x14ac:dyDescent="0.25">
      <c r="A25" s="53"/>
      <c r="B25" s="962" t="s">
        <v>574</v>
      </c>
      <c r="C25" s="957"/>
      <c r="D25" s="957"/>
      <c r="E25" s="957"/>
      <c r="F25" s="957"/>
      <c r="G25" s="958"/>
      <c r="H25" s="958"/>
      <c r="I25" s="958"/>
      <c r="J25" s="958"/>
      <c r="K25" s="958"/>
      <c r="L25" s="53"/>
      <c r="M25" s="53"/>
      <c r="S25" s="1171">
        <v>5.2</v>
      </c>
      <c r="T25" s="1172" t="s">
        <v>2303</v>
      </c>
      <c r="U25" s="1172">
        <v>3.3</v>
      </c>
      <c r="V25" s="1172">
        <v>35</v>
      </c>
      <c r="W25" s="1172"/>
      <c r="X25" s="1173">
        <f t="shared" si="0"/>
        <v>10.606060606060607</v>
      </c>
    </row>
    <row r="26" spans="1:24" ht="28.5" customHeight="1" x14ac:dyDescent="0.25">
      <c r="A26" s="53"/>
      <c r="B26" s="1855" t="s">
        <v>2304</v>
      </c>
      <c r="C26" s="1855"/>
      <c r="D26" s="1855"/>
      <c r="E26" s="1855"/>
      <c r="F26" s="1855"/>
      <c r="G26" s="1855"/>
      <c r="H26" s="1855"/>
      <c r="I26" s="1855"/>
      <c r="J26" s="1855"/>
      <c r="K26" s="1855"/>
      <c r="L26" s="53"/>
      <c r="M26" s="53"/>
      <c r="S26" s="1171">
        <v>5.3</v>
      </c>
      <c r="T26" s="1174" t="s">
        <v>2305</v>
      </c>
      <c r="U26" s="1172">
        <v>3.3</v>
      </c>
      <c r="V26" s="1172">
        <v>30</v>
      </c>
      <c r="W26" s="1172"/>
      <c r="X26" s="1173">
        <f t="shared" si="0"/>
        <v>9.0909090909090917</v>
      </c>
    </row>
    <row r="27" spans="1:24" ht="8.25" customHeight="1" x14ac:dyDescent="0.25">
      <c r="A27" s="53"/>
      <c r="B27" s="960"/>
      <c r="C27" s="957"/>
      <c r="D27" s="957"/>
      <c r="E27" s="957"/>
      <c r="F27" s="957"/>
      <c r="G27" s="958"/>
      <c r="H27" s="958"/>
      <c r="I27" s="958"/>
      <c r="J27" s="958"/>
      <c r="K27" s="958"/>
      <c r="L27" s="53"/>
      <c r="M27" s="53"/>
      <c r="S27" s="1171">
        <v>5.4</v>
      </c>
      <c r="T27" s="1172" t="s">
        <v>2306</v>
      </c>
      <c r="U27" s="1172">
        <v>5</v>
      </c>
      <c r="V27" s="1172">
        <v>25</v>
      </c>
      <c r="W27" s="1172"/>
      <c r="X27" s="1173">
        <f t="shared" si="0"/>
        <v>5</v>
      </c>
    </row>
    <row r="28" spans="1:24" x14ac:dyDescent="0.25">
      <c r="A28" s="53"/>
      <c r="B28" s="959" t="s">
        <v>2307</v>
      </c>
      <c r="C28" s="957"/>
      <c r="D28" s="957"/>
      <c r="E28" s="957"/>
      <c r="F28" s="957"/>
      <c r="G28" s="958"/>
      <c r="H28" s="958"/>
      <c r="I28" s="958"/>
      <c r="J28" s="958"/>
      <c r="K28" s="958"/>
      <c r="L28" s="53"/>
      <c r="M28" s="53"/>
      <c r="S28" s="1171">
        <v>5.5</v>
      </c>
      <c r="T28" s="1172" t="s">
        <v>2308</v>
      </c>
      <c r="U28" s="1172">
        <v>0.7</v>
      </c>
      <c r="V28" s="1172">
        <v>25</v>
      </c>
      <c r="W28" s="1172"/>
      <c r="X28" s="1173">
        <f t="shared" si="0"/>
        <v>35.714285714285715</v>
      </c>
    </row>
    <row r="29" spans="1:24" x14ac:dyDescent="0.25">
      <c r="A29" s="53"/>
      <c r="B29" s="962" t="s">
        <v>965</v>
      </c>
      <c r="C29" s="957"/>
      <c r="D29" s="957"/>
      <c r="E29" s="957"/>
      <c r="F29" s="957"/>
      <c r="G29" s="958"/>
      <c r="H29" s="958"/>
      <c r="I29" s="958"/>
      <c r="J29" s="958"/>
      <c r="K29" s="958"/>
      <c r="L29" s="53"/>
      <c r="M29" s="53"/>
      <c r="S29" s="1171">
        <v>5.6</v>
      </c>
      <c r="T29" s="1172" t="s">
        <v>2309</v>
      </c>
      <c r="U29" s="1172">
        <v>2</v>
      </c>
      <c r="V29" s="1172">
        <v>25</v>
      </c>
      <c r="W29" s="1172"/>
      <c r="X29" s="1173">
        <f t="shared" si="0"/>
        <v>12.5</v>
      </c>
    </row>
    <row r="30" spans="1:24" x14ac:dyDescent="0.25">
      <c r="A30" s="53"/>
      <c r="B30" s="960" t="s">
        <v>2310</v>
      </c>
      <c r="C30" s="957"/>
      <c r="D30" s="957"/>
      <c r="E30" s="957"/>
      <c r="F30" s="957"/>
      <c r="G30" s="958"/>
      <c r="H30" s="958"/>
      <c r="I30" s="958"/>
      <c r="J30" s="958"/>
      <c r="K30" s="958"/>
      <c r="L30" s="53"/>
      <c r="M30" s="53"/>
      <c r="S30" s="1171">
        <v>5.7</v>
      </c>
      <c r="T30" s="1172" t="s">
        <v>2311</v>
      </c>
      <c r="U30" s="1172"/>
      <c r="V30" s="1172" t="s">
        <v>126</v>
      </c>
      <c r="W30" s="1172">
        <v>2</v>
      </c>
      <c r="X30" s="1175">
        <f t="shared" ref="X30:X31" si="1">W30</f>
        <v>2</v>
      </c>
    </row>
    <row r="31" spans="1:24" ht="19.5" customHeight="1" x14ac:dyDescent="0.25">
      <c r="A31" s="53"/>
      <c r="B31" s="54"/>
      <c r="C31" s="54"/>
      <c r="D31" s="54"/>
      <c r="E31" s="54"/>
      <c r="F31" s="54"/>
      <c r="G31" s="53"/>
      <c r="H31" s="53"/>
      <c r="I31" s="53"/>
      <c r="J31" s="53"/>
      <c r="K31" s="53"/>
      <c r="L31" s="53"/>
      <c r="M31" s="53"/>
      <c r="S31" s="1171">
        <v>5.8</v>
      </c>
      <c r="T31" s="1172" t="s">
        <v>2312</v>
      </c>
      <c r="U31" s="1172"/>
      <c r="V31" s="1172" t="s">
        <v>126</v>
      </c>
      <c r="W31" s="1172">
        <v>9</v>
      </c>
      <c r="X31" s="1175">
        <f t="shared" si="1"/>
        <v>9</v>
      </c>
    </row>
    <row r="32" spans="1:24" ht="18" customHeight="1" x14ac:dyDescent="0.25">
      <c r="A32" s="1831" t="s">
        <v>26</v>
      </c>
      <c r="B32" s="1831"/>
      <c r="C32" s="1831"/>
      <c r="D32" s="1831"/>
      <c r="E32" s="1831"/>
      <c r="F32" s="1831"/>
      <c r="G32" s="1831"/>
      <c r="H32" s="1831"/>
      <c r="I32" s="1831"/>
      <c r="J32" s="1831"/>
      <c r="K32" s="1831"/>
      <c r="L32" s="1831"/>
      <c r="M32" s="1831"/>
      <c r="S32" s="1176">
        <v>6.1</v>
      </c>
      <c r="T32" s="1172" t="s">
        <v>2313</v>
      </c>
      <c r="U32" s="1172">
        <v>10</v>
      </c>
      <c r="V32" s="1172">
        <v>40</v>
      </c>
      <c r="W32" s="1172"/>
      <c r="X32" s="1173">
        <f t="shared" ref="X32:X34" si="2">V32/U32</f>
        <v>4</v>
      </c>
    </row>
    <row r="33" spans="1:24" ht="12" customHeight="1" x14ac:dyDescent="0.25">
      <c r="A33" s="53"/>
      <c r="B33" s="54"/>
      <c r="C33" s="54"/>
      <c r="D33" s="54"/>
      <c r="E33" s="54"/>
      <c r="F33" s="54"/>
      <c r="G33" s="53"/>
      <c r="H33" s="53"/>
      <c r="I33" s="53"/>
      <c r="J33" s="53"/>
      <c r="K33" s="53"/>
      <c r="L33" s="53"/>
      <c r="M33" s="53"/>
      <c r="S33" s="1176">
        <v>6.2</v>
      </c>
      <c r="T33" s="1172" t="s">
        <v>2314</v>
      </c>
      <c r="U33" s="1172">
        <v>5</v>
      </c>
      <c r="V33" s="1172">
        <v>25</v>
      </c>
      <c r="W33" s="1172"/>
      <c r="X33" s="1173">
        <f t="shared" si="2"/>
        <v>5</v>
      </c>
    </row>
    <row r="34" spans="1:24" x14ac:dyDescent="0.25">
      <c r="A34" s="53"/>
      <c r="B34" s="741" t="s">
        <v>2384</v>
      </c>
      <c r="C34" s="54"/>
      <c r="D34" s="54"/>
      <c r="E34" s="54"/>
      <c r="F34" s="54"/>
      <c r="G34" s="53"/>
      <c r="H34" s="53"/>
      <c r="I34" s="53"/>
      <c r="J34" s="53"/>
      <c r="K34" s="53"/>
      <c r="L34" s="53"/>
      <c r="M34" s="53"/>
      <c r="S34" s="1176">
        <v>6.3</v>
      </c>
      <c r="T34" s="1172" t="s">
        <v>2315</v>
      </c>
      <c r="U34" s="1172">
        <v>5</v>
      </c>
      <c r="V34" s="1172">
        <v>50</v>
      </c>
      <c r="W34" s="1172"/>
      <c r="X34" s="1173">
        <f t="shared" si="2"/>
        <v>10</v>
      </c>
    </row>
    <row r="35" spans="1:24" x14ac:dyDescent="0.25">
      <c r="A35" s="53"/>
      <c r="B35" s="741"/>
      <c r="C35" s="54"/>
      <c r="D35" s="54"/>
      <c r="E35" s="54"/>
      <c r="F35" s="54"/>
      <c r="G35" s="53"/>
      <c r="H35" s="53"/>
      <c r="I35" s="53"/>
      <c r="J35" s="53"/>
      <c r="K35" s="53"/>
      <c r="L35" s="53"/>
      <c r="M35" s="53"/>
      <c r="S35" s="1176">
        <v>6.4</v>
      </c>
      <c r="T35" s="1174" t="s">
        <v>2316</v>
      </c>
      <c r="U35" s="1172"/>
      <c r="V35" s="1172" t="s">
        <v>126</v>
      </c>
      <c r="W35" s="1172">
        <v>9</v>
      </c>
      <c r="X35" s="1175">
        <f>W35</f>
        <v>9</v>
      </c>
    </row>
    <row r="36" spans="1:24" ht="18.75" customHeight="1" x14ac:dyDescent="0.25">
      <c r="A36" s="53"/>
      <c r="B36" s="1411" t="s">
        <v>2317</v>
      </c>
      <c r="C36" s="1411"/>
      <c r="D36" s="1411"/>
      <c r="E36" s="1411"/>
      <c r="F36" s="1411"/>
      <c r="G36" s="1411"/>
      <c r="H36" s="1411"/>
      <c r="I36" s="1411"/>
      <c r="J36" s="53"/>
      <c r="K36" s="53"/>
      <c r="L36" s="53"/>
      <c r="M36" s="53"/>
      <c r="S36" s="1176">
        <v>6.5</v>
      </c>
      <c r="T36" s="1172" t="s">
        <v>2318</v>
      </c>
      <c r="U36" s="1172">
        <v>5</v>
      </c>
      <c r="V36" s="1172">
        <v>25</v>
      </c>
      <c r="W36" s="1172"/>
      <c r="X36" s="1173">
        <f t="shared" ref="X36:X40" si="3">V36/U36</f>
        <v>5</v>
      </c>
    </row>
    <row r="37" spans="1:24" ht="10.5" customHeight="1" x14ac:dyDescent="0.25">
      <c r="A37" s="53"/>
      <c r="B37" s="54"/>
      <c r="C37" s="54"/>
      <c r="D37" s="54"/>
      <c r="E37" s="54"/>
      <c r="F37" s="54"/>
      <c r="G37" s="53"/>
      <c r="H37" s="53"/>
      <c r="I37" s="53"/>
      <c r="J37" s="53"/>
      <c r="K37" s="53"/>
      <c r="L37" s="53"/>
      <c r="M37" s="53"/>
      <c r="S37" s="1176">
        <v>6.6</v>
      </c>
      <c r="T37" s="1172" t="s">
        <v>2319</v>
      </c>
      <c r="U37" s="1172">
        <v>1</v>
      </c>
      <c r="V37" s="1172">
        <v>25</v>
      </c>
      <c r="W37" s="1172"/>
      <c r="X37" s="1173">
        <f t="shared" si="3"/>
        <v>25</v>
      </c>
    </row>
    <row r="38" spans="1:24" ht="18" customHeight="1" x14ac:dyDescent="0.25">
      <c r="A38" s="53"/>
      <c r="B38" s="1856" t="s">
        <v>2320</v>
      </c>
      <c r="C38" s="1857"/>
      <c r="D38" s="1858" t="s">
        <v>2321</v>
      </c>
      <c r="E38" s="1858"/>
      <c r="F38" s="1858" t="s">
        <v>2385</v>
      </c>
      <c r="G38" s="1858"/>
      <c r="H38" s="53"/>
      <c r="I38" s="53"/>
      <c r="J38" s="53"/>
      <c r="K38" s="53"/>
      <c r="L38" s="53"/>
      <c r="M38" s="53"/>
      <c r="S38" s="1176">
        <v>6.7</v>
      </c>
      <c r="T38" s="1172" t="s">
        <v>2322</v>
      </c>
      <c r="U38" s="1172">
        <v>2.5</v>
      </c>
      <c r="V38" s="1172">
        <v>25</v>
      </c>
      <c r="W38" s="1172"/>
      <c r="X38" s="1173">
        <f t="shared" si="3"/>
        <v>10</v>
      </c>
    </row>
    <row r="39" spans="1:24" ht="18" customHeight="1" x14ac:dyDescent="0.25">
      <c r="A39" s="53"/>
      <c r="B39" s="1436" t="s">
        <v>2323</v>
      </c>
      <c r="C39" s="1438"/>
      <c r="D39" s="1737" t="s">
        <v>129</v>
      </c>
      <c r="E39" s="1738"/>
      <c r="F39" s="1737"/>
      <c r="G39" s="1738"/>
      <c r="H39" s="1852" t="str">
        <f>IF(SUM(F39:G41)=0,"",IF(SUM(F39:G41)&lt;&gt;K40,"/!\ Values of occupied areas should match with the net occupied area",""))</f>
        <v/>
      </c>
      <c r="I39" s="1853"/>
      <c r="J39" s="1853"/>
      <c r="K39" s="1853"/>
      <c r="L39" s="1853"/>
      <c r="M39" s="1853"/>
      <c r="S39" s="1171">
        <v>7.1</v>
      </c>
      <c r="T39" s="1172" t="s">
        <v>2324</v>
      </c>
      <c r="U39" s="1172">
        <v>0.7</v>
      </c>
      <c r="V39" s="1172">
        <v>25</v>
      </c>
      <c r="W39" s="1172"/>
      <c r="X39" s="1173">
        <f t="shared" si="3"/>
        <v>35.714285714285715</v>
      </c>
    </row>
    <row r="40" spans="1:24" ht="18" customHeight="1" x14ac:dyDescent="0.25">
      <c r="A40" s="53"/>
      <c r="B40" s="1436" t="s">
        <v>2325</v>
      </c>
      <c r="C40" s="1438"/>
      <c r="D40" s="1737" t="s">
        <v>129</v>
      </c>
      <c r="E40" s="1738"/>
      <c r="F40" s="1737"/>
      <c r="G40" s="1738"/>
      <c r="H40" s="53"/>
      <c r="I40" s="1854" t="s">
        <v>2383</v>
      </c>
      <c r="J40" s="1854"/>
      <c r="K40" s="412">
        <f>'Project information'!C32</f>
        <v>0</v>
      </c>
      <c r="L40" s="53"/>
      <c r="M40" s="53"/>
      <c r="S40" s="1171">
        <v>7.2</v>
      </c>
      <c r="T40" s="1172" t="s">
        <v>2326</v>
      </c>
      <c r="U40" s="1172">
        <v>1.4</v>
      </c>
      <c r="V40" s="1172">
        <v>35</v>
      </c>
      <c r="W40" s="1172"/>
      <c r="X40" s="1173">
        <f t="shared" si="3"/>
        <v>25</v>
      </c>
    </row>
    <row r="41" spans="1:24" ht="18" customHeight="1" x14ac:dyDescent="0.25">
      <c r="A41" s="53"/>
      <c r="B41" s="1436" t="s">
        <v>2327</v>
      </c>
      <c r="C41" s="1438"/>
      <c r="D41" s="1737" t="s">
        <v>129</v>
      </c>
      <c r="E41" s="1738"/>
      <c r="F41" s="1737"/>
      <c r="G41" s="1738"/>
      <c r="H41" s="53"/>
      <c r="I41" s="53"/>
      <c r="J41" s="53"/>
      <c r="K41" s="53"/>
      <c r="L41" s="53"/>
      <c r="M41" s="53"/>
      <c r="S41" s="1171">
        <v>7.3</v>
      </c>
      <c r="T41" s="1172" t="s">
        <v>2328</v>
      </c>
      <c r="U41" s="1172"/>
      <c r="V41" s="1172" t="s">
        <v>126</v>
      </c>
      <c r="W41" s="1172">
        <v>9</v>
      </c>
      <c r="X41" s="1175">
        <f>W41</f>
        <v>9</v>
      </c>
    </row>
    <row r="42" spans="1:24" ht="13.5" customHeight="1" x14ac:dyDescent="0.25">
      <c r="A42" s="53"/>
      <c r="B42" s="207"/>
      <c r="C42" s="54"/>
      <c r="D42" s="54"/>
      <c r="E42" s="54"/>
      <c r="F42" s="54"/>
      <c r="G42" s="53"/>
      <c r="H42" s="53"/>
      <c r="I42" s="53"/>
      <c r="J42" s="53"/>
      <c r="K42" s="53"/>
      <c r="L42" s="53"/>
      <c r="M42" s="53"/>
      <c r="S42" s="1171">
        <v>7.4</v>
      </c>
      <c r="T42" s="1172" t="s">
        <v>2329</v>
      </c>
      <c r="U42" s="1172"/>
      <c r="V42" s="1172" t="s">
        <v>126</v>
      </c>
      <c r="W42" s="1172">
        <v>9</v>
      </c>
      <c r="X42" s="1175">
        <f>W42</f>
        <v>9</v>
      </c>
    </row>
    <row r="43" spans="1:24" ht="19.5" customHeight="1" x14ac:dyDescent="0.25">
      <c r="A43" s="53"/>
      <c r="B43" s="1177" t="s">
        <v>2330</v>
      </c>
      <c r="C43" s="1178"/>
      <c r="D43" s="1178"/>
      <c r="E43" s="1178"/>
      <c r="F43" s="1178"/>
      <c r="G43" s="1178"/>
      <c r="H43" s="1178"/>
      <c r="I43" s="1178"/>
      <c r="J43" s="53"/>
      <c r="K43" s="53"/>
      <c r="L43" s="53"/>
      <c r="M43" s="53"/>
      <c r="S43" s="1171">
        <v>7.5</v>
      </c>
      <c r="T43" s="1172" t="s">
        <v>2331</v>
      </c>
      <c r="U43" s="1172">
        <v>1</v>
      </c>
      <c r="V43" s="1172">
        <v>40</v>
      </c>
      <c r="W43" s="1172"/>
      <c r="X43" s="1173">
        <f t="shared" ref="X43:X44" si="4">V43/U43</f>
        <v>40</v>
      </c>
    </row>
    <row r="44" spans="1:24" ht="22.5" customHeight="1" x14ac:dyDescent="0.25">
      <c r="A44" s="53"/>
      <c r="B44" s="1847" t="s">
        <v>2386</v>
      </c>
      <c r="C44" s="1847"/>
      <c r="D44" s="1847"/>
      <c r="E44" s="1847"/>
      <c r="F44" s="1847"/>
      <c r="G44" s="1847"/>
      <c r="H44" s="1847"/>
      <c r="I44" s="1847"/>
      <c r="J44" s="53"/>
      <c r="K44" s="53"/>
      <c r="L44" s="53"/>
      <c r="M44" s="53"/>
      <c r="S44" s="1171">
        <v>7.6</v>
      </c>
      <c r="T44" s="1172" t="s">
        <v>2332</v>
      </c>
      <c r="U44" s="1172">
        <v>1.4</v>
      </c>
      <c r="V44" s="1172">
        <v>40</v>
      </c>
      <c r="W44" s="1172"/>
      <c r="X44" s="1173">
        <f t="shared" si="4"/>
        <v>28.571428571428573</v>
      </c>
    </row>
    <row r="45" spans="1:24" ht="10.5" customHeight="1" x14ac:dyDescent="0.25">
      <c r="A45" s="53"/>
      <c r="B45" s="207"/>
      <c r="C45" s="54"/>
      <c r="D45" s="54"/>
      <c r="E45" s="54"/>
      <c r="F45" s="54"/>
      <c r="G45" s="53"/>
      <c r="H45" s="53"/>
      <c r="I45" s="53"/>
      <c r="J45" s="53"/>
      <c r="K45" s="53"/>
      <c r="L45" s="53"/>
      <c r="M45" s="53"/>
      <c r="S45" s="1171">
        <v>8.1</v>
      </c>
      <c r="T45" s="1172" t="s">
        <v>2333</v>
      </c>
      <c r="U45" s="1172"/>
      <c r="V45" s="1172"/>
      <c r="W45" s="1172">
        <v>1</v>
      </c>
      <c r="X45" s="1175">
        <f t="shared" ref="X45:X47" si="5">W45</f>
        <v>1</v>
      </c>
    </row>
    <row r="46" spans="1:24" ht="47.25" customHeight="1" x14ac:dyDescent="0.25">
      <c r="A46" s="53"/>
      <c r="B46" s="1155" t="s">
        <v>2334</v>
      </c>
      <c r="C46" s="541" t="s">
        <v>575</v>
      </c>
      <c r="D46" s="541" t="s">
        <v>43</v>
      </c>
      <c r="E46" s="1851" t="s">
        <v>576</v>
      </c>
      <c r="F46" s="1851"/>
      <c r="G46" s="541" t="s">
        <v>2335</v>
      </c>
      <c r="H46" s="541" t="s">
        <v>2336</v>
      </c>
      <c r="I46" s="541" t="s">
        <v>964</v>
      </c>
      <c r="J46" s="541" t="s">
        <v>2337</v>
      </c>
      <c r="K46" s="1850" t="s">
        <v>182</v>
      </c>
      <c r="L46" s="1850"/>
      <c r="M46" s="53"/>
      <c r="N46" s="53"/>
      <c r="S46" s="1171">
        <v>8.1999999999999993</v>
      </c>
      <c r="T46" s="1172" t="s">
        <v>2338</v>
      </c>
      <c r="U46" s="1172">
        <v>5</v>
      </c>
      <c r="V46" s="1172" t="s">
        <v>126</v>
      </c>
      <c r="W46" s="1172">
        <v>4</v>
      </c>
      <c r="X46" s="1175">
        <f t="shared" si="5"/>
        <v>4</v>
      </c>
    </row>
    <row r="47" spans="1:24" x14ac:dyDescent="0.25">
      <c r="A47" s="53"/>
      <c r="B47" s="1153"/>
      <c r="C47" s="1153" t="s">
        <v>129</v>
      </c>
      <c r="D47" s="1153"/>
      <c r="E47" s="1836"/>
      <c r="F47" s="1837"/>
      <c r="G47" s="1157"/>
      <c r="H47" s="1157"/>
      <c r="I47" s="1157" t="s">
        <v>129</v>
      </c>
      <c r="J47" s="983"/>
      <c r="K47" s="1846" t="str">
        <f>IF(OR(G47="",H47=""),"",IF(AND(G47&gt;=0.04*D47,H47&lt;8),"Yes",IF(AND(I47="Yes",J47&gt;=0.08*D47,J47&gt;2.3,H47&lt;8),"Yes","No")))</f>
        <v/>
      </c>
      <c r="L47" s="1846"/>
      <c r="M47" s="53"/>
      <c r="N47" s="53"/>
      <c r="O47" s="42">
        <f>IF(K47="Yes",D47,0)</f>
        <v>0</v>
      </c>
      <c r="S47" s="1171">
        <v>8.3000000000000007</v>
      </c>
      <c r="T47" s="1172" t="s">
        <v>2339</v>
      </c>
      <c r="U47" s="1172">
        <v>20</v>
      </c>
      <c r="V47" s="1172" t="s">
        <v>126</v>
      </c>
      <c r="W47" s="1172">
        <v>1</v>
      </c>
      <c r="X47" s="1175">
        <f t="shared" si="5"/>
        <v>1</v>
      </c>
    </row>
    <row r="48" spans="1:24" x14ac:dyDescent="0.25">
      <c r="A48" s="53"/>
      <c r="B48" s="1153"/>
      <c r="C48" s="1153" t="s">
        <v>129</v>
      </c>
      <c r="D48" s="1153"/>
      <c r="E48" s="1836"/>
      <c r="F48" s="1837"/>
      <c r="G48" s="1157"/>
      <c r="H48" s="1157"/>
      <c r="I48" s="1157" t="s">
        <v>129</v>
      </c>
      <c r="J48" s="983"/>
      <c r="K48" s="1846" t="str">
        <f>IF(OR(G48="",H48=""),"",IF(AND(G48&gt;=0.04*D48,H48&lt;8),"Yes",IF(AND(I48="Yes",J48&gt;=0.08*D48,J48&gt;2.3,H48&lt;8),"Yes","No")))</f>
        <v/>
      </c>
      <c r="L48" s="1846"/>
      <c r="M48" s="53"/>
      <c r="N48" s="53"/>
      <c r="O48" s="42">
        <f t="shared" ref="O48:O60" si="6">IF(K48="Yes",D48,0)</f>
        <v>0</v>
      </c>
      <c r="S48" s="1171">
        <v>8.4</v>
      </c>
      <c r="T48" s="1172" t="s">
        <v>2340</v>
      </c>
      <c r="U48" s="1172">
        <v>1.5</v>
      </c>
      <c r="V48" s="1172">
        <v>25</v>
      </c>
      <c r="W48" s="1172"/>
      <c r="X48" s="1173">
        <f t="shared" ref="X48:X51" si="7">V48/U48</f>
        <v>16.666666666666668</v>
      </c>
    </row>
    <row r="49" spans="1:24" x14ac:dyDescent="0.25">
      <c r="A49" s="53"/>
      <c r="B49" s="1153"/>
      <c r="C49" s="1153" t="s">
        <v>129</v>
      </c>
      <c r="D49" s="1153"/>
      <c r="E49" s="1836"/>
      <c r="F49" s="1837"/>
      <c r="G49" s="1157"/>
      <c r="H49" s="1157"/>
      <c r="I49" s="1157" t="s">
        <v>129</v>
      </c>
      <c r="J49" s="983"/>
      <c r="K49" s="1846" t="str">
        <f t="shared" ref="K49:K53" si="8">IF(OR(G49="",H49=""),"",IF(AND(G49&gt;=0.04*D49,H49&lt;8),"Yes",IF(AND(I49="Yes",J49&gt;=0.08*D49,J49&gt;2.3,H49&lt;8),"Yes","No")))</f>
        <v/>
      </c>
      <c r="L49" s="1846"/>
      <c r="M49" s="53"/>
      <c r="N49" s="53"/>
      <c r="O49" s="42">
        <f t="shared" si="6"/>
        <v>0</v>
      </c>
      <c r="S49" s="1171">
        <v>8.5</v>
      </c>
      <c r="T49" s="1172" t="s">
        <v>2341</v>
      </c>
      <c r="U49" s="1172">
        <v>1.5</v>
      </c>
      <c r="V49" s="1172">
        <v>30</v>
      </c>
      <c r="W49" s="1172"/>
      <c r="X49" s="1173">
        <f t="shared" si="7"/>
        <v>20</v>
      </c>
    </row>
    <row r="50" spans="1:24" x14ac:dyDescent="0.25">
      <c r="A50" s="53"/>
      <c r="B50" s="1153"/>
      <c r="C50" s="1153" t="s">
        <v>129</v>
      </c>
      <c r="D50" s="1153"/>
      <c r="E50" s="1836"/>
      <c r="F50" s="1837"/>
      <c r="G50" s="1157"/>
      <c r="H50" s="1157"/>
      <c r="I50" s="1157" t="s">
        <v>129</v>
      </c>
      <c r="J50" s="983"/>
      <c r="K50" s="1846" t="str">
        <f t="shared" si="8"/>
        <v/>
      </c>
      <c r="L50" s="1846"/>
      <c r="M50" s="53"/>
      <c r="N50" s="53"/>
      <c r="O50" s="42">
        <f t="shared" si="6"/>
        <v>0</v>
      </c>
      <c r="S50" s="1171">
        <v>9.1</v>
      </c>
      <c r="T50" s="1172" t="s">
        <v>2342</v>
      </c>
      <c r="U50" s="1172">
        <v>4</v>
      </c>
      <c r="V50" s="1172">
        <v>25</v>
      </c>
      <c r="W50" s="1172"/>
      <c r="X50" s="1173">
        <f t="shared" si="7"/>
        <v>6.25</v>
      </c>
    </row>
    <row r="51" spans="1:24" x14ac:dyDescent="0.25">
      <c r="A51" s="53"/>
      <c r="B51" s="1153"/>
      <c r="C51" s="1153" t="s">
        <v>129</v>
      </c>
      <c r="D51" s="1153"/>
      <c r="E51" s="1836"/>
      <c r="F51" s="1837"/>
      <c r="G51" s="1157"/>
      <c r="H51" s="1157"/>
      <c r="I51" s="1157" t="s">
        <v>129</v>
      </c>
      <c r="J51" s="983"/>
      <c r="K51" s="1846" t="str">
        <f t="shared" si="8"/>
        <v/>
      </c>
      <c r="L51" s="1846"/>
      <c r="M51" s="53"/>
      <c r="N51" s="53"/>
      <c r="O51" s="42">
        <f t="shared" si="6"/>
        <v>0</v>
      </c>
      <c r="S51" s="1171">
        <v>9.1999999999999993</v>
      </c>
      <c r="T51" s="1172" t="s">
        <v>2343</v>
      </c>
      <c r="U51" s="1172">
        <v>4</v>
      </c>
      <c r="V51" s="1172">
        <v>40</v>
      </c>
      <c r="W51" s="1172"/>
      <c r="X51" s="1173">
        <f t="shared" si="7"/>
        <v>10</v>
      </c>
    </row>
    <row r="52" spans="1:24" x14ac:dyDescent="0.25">
      <c r="A52" s="53"/>
      <c r="B52" s="1153"/>
      <c r="C52" s="1153" t="s">
        <v>129</v>
      </c>
      <c r="D52" s="1153"/>
      <c r="E52" s="1836"/>
      <c r="F52" s="1837"/>
      <c r="G52" s="1157"/>
      <c r="H52" s="1157"/>
      <c r="I52" s="1157" t="s">
        <v>129</v>
      </c>
      <c r="J52" s="983"/>
      <c r="K52" s="1846" t="str">
        <f t="shared" si="8"/>
        <v/>
      </c>
      <c r="L52" s="1846"/>
      <c r="M52" s="53"/>
      <c r="N52" s="53"/>
      <c r="O52" s="42">
        <f>IF(K52="Yes",D52,0)</f>
        <v>0</v>
      </c>
      <c r="S52" s="1171">
        <v>9.3000000000000007</v>
      </c>
      <c r="T52" s="1172" t="s">
        <v>2344</v>
      </c>
      <c r="U52" s="1172"/>
      <c r="V52" s="1172" t="s">
        <v>126</v>
      </c>
      <c r="W52" s="1172">
        <v>5</v>
      </c>
      <c r="X52" s="1175">
        <f>W52</f>
        <v>5</v>
      </c>
    </row>
    <row r="53" spans="1:24" x14ac:dyDescent="0.25">
      <c r="A53" s="53"/>
      <c r="B53" s="1153"/>
      <c r="C53" s="1153" t="s">
        <v>129</v>
      </c>
      <c r="D53" s="1153"/>
      <c r="E53" s="1836"/>
      <c r="F53" s="1837"/>
      <c r="G53" s="1157"/>
      <c r="H53" s="1157"/>
      <c r="I53" s="1157" t="s">
        <v>129</v>
      </c>
      <c r="J53" s="983"/>
      <c r="K53" s="1846" t="str">
        <f t="shared" si="8"/>
        <v/>
      </c>
      <c r="L53" s="1846"/>
      <c r="M53" s="53"/>
      <c r="N53" s="53"/>
      <c r="O53" s="42">
        <f t="shared" si="6"/>
        <v>0</v>
      </c>
      <c r="S53" s="1171">
        <v>9.4</v>
      </c>
      <c r="T53" s="1172" t="s">
        <v>2345</v>
      </c>
      <c r="U53" s="1172">
        <v>12</v>
      </c>
      <c r="V53" s="1172">
        <v>25</v>
      </c>
      <c r="W53" s="1172"/>
      <c r="X53" s="1173">
        <f t="shared" ref="X53:X61" si="9">V53/U53</f>
        <v>2.0833333333333335</v>
      </c>
    </row>
    <row r="54" spans="1:24" x14ac:dyDescent="0.25">
      <c r="A54" s="53"/>
      <c r="B54" s="1153"/>
      <c r="C54" s="1153" t="s">
        <v>129</v>
      </c>
      <c r="D54" s="1153"/>
      <c r="E54" s="1836"/>
      <c r="F54" s="1837"/>
      <c r="G54" s="1157"/>
      <c r="H54" s="1157"/>
      <c r="I54" s="1157" t="s">
        <v>129</v>
      </c>
      <c r="J54" s="983"/>
      <c r="K54" s="1846" t="s">
        <v>2346</v>
      </c>
      <c r="L54" s="1846"/>
      <c r="M54" s="53"/>
      <c r="N54" s="53"/>
      <c r="O54" s="42">
        <f t="shared" si="6"/>
        <v>0</v>
      </c>
      <c r="S54" s="1171">
        <v>9.5</v>
      </c>
      <c r="T54" s="1172" t="s">
        <v>2347</v>
      </c>
      <c r="U54" s="1172">
        <v>12</v>
      </c>
      <c r="V54" s="1172">
        <v>25</v>
      </c>
      <c r="W54" s="1172"/>
      <c r="X54" s="1173">
        <f t="shared" si="9"/>
        <v>2.0833333333333335</v>
      </c>
    </row>
    <row r="55" spans="1:24" x14ac:dyDescent="0.25">
      <c r="A55" s="53"/>
      <c r="B55" s="1153"/>
      <c r="C55" s="1153" t="s">
        <v>129</v>
      </c>
      <c r="D55" s="1153"/>
      <c r="E55" s="1836"/>
      <c r="F55" s="1837"/>
      <c r="G55" s="1157"/>
      <c r="H55" s="1157"/>
      <c r="I55" s="1157" t="s">
        <v>129</v>
      </c>
      <c r="J55" s="983"/>
      <c r="K55" s="1846" t="str">
        <f t="shared" ref="K55:K61" si="10">IF(OR(G55="",H55=""),"",IF(AND(G55&gt;=0.04*D55,H55&lt;8),"Yes",IF(AND(I55="Yes",J55&gt;=0.08*D55,J55&gt;2.3,H55&lt;8),"Yes","No")))</f>
        <v/>
      </c>
      <c r="L55" s="1846"/>
      <c r="M55" s="53"/>
      <c r="N55" s="53"/>
      <c r="O55" s="42">
        <f t="shared" si="6"/>
        <v>0</v>
      </c>
      <c r="S55" s="1171">
        <v>10.1</v>
      </c>
      <c r="T55" s="1172" t="s">
        <v>2348</v>
      </c>
      <c r="U55" s="1172">
        <v>1</v>
      </c>
      <c r="V55" s="1172">
        <v>25</v>
      </c>
      <c r="W55" s="1172"/>
      <c r="X55" s="1173">
        <f t="shared" si="9"/>
        <v>25</v>
      </c>
    </row>
    <row r="56" spans="1:24" x14ac:dyDescent="0.25">
      <c r="A56" s="53"/>
      <c r="B56" s="1153"/>
      <c r="C56" s="1153" t="s">
        <v>129</v>
      </c>
      <c r="D56" s="1153"/>
      <c r="E56" s="1836"/>
      <c r="F56" s="1837"/>
      <c r="G56" s="1157"/>
      <c r="H56" s="1157"/>
      <c r="I56" s="1157" t="s">
        <v>129</v>
      </c>
      <c r="J56" s="983"/>
      <c r="K56" s="1846" t="str">
        <f t="shared" si="10"/>
        <v/>
      </c>
      <c r="L56" s="1846"/>
      <c r="M56" s="53"/>
      <c r="N56" s="53"/>
      <c r="O56" s="42">
        <f t="shared" si="6"/>
        <v>0</v>
      </c>
      <c r="S56" s="1171">
        <v>10.199999999999999</v>
      </c>
      <c r="T56" s="1172" t="s">
        <v>2349</v>
      </c>
      <c r="U56" s="1172">
        <v>1</v>
      </c>
      <c r="V56" s="1172">
        <v>25</v>
      </c>
      <c r="W56" s="1172"/>
      <c r="X56" s="1173">
        <f t="shared" si="9"/>
        <v>25</v>
      </c>
    </row>
    <row r="57" spans="1:24" x14ac:dyDescent="0.25">
      <c r="A57" s="53"/>
      <c r="B57" s="1153"/>
      <c r="C57" s="1153" t="s">
        <v>129</v>
      </c>
      <c r="D57" s="1153"/>
      <c r="E57" s="1836"/>
      <c r="F57" s="1837"/>
      <c r="G57" s="1157"/>
      <c r="H57" s="1157"/>
      <c r="I57" s="1157" t="s">
        <v>129</v>
      </c>
      <c r="J57" s="983"/>
      <c r="K57" s="1846" t="str">
        <f t="shared" si="10"/>
        <v/>
      </c>
      <c r="L57" s="1846"/>
      <c r="M57" s="53"/>
      <c r="N57" s="53"/>
      <c r="O57" s="42">
        <f t="shared" si="6"/>
        <v>0</v>
      </c>
      <c r="S57" s="1171">
        <v>11.1</v>
      </c>
      <c r="T57" s="1172" t="s">
        <v>2350</v>
      </c>
      <c r="U57" s="1172">
        <v>9</v>
      </c>
      <c r="V57" s="1172">
        <v>25</v>
      </c>
      <c r="W57" s="1172"/>
      <c r="X57" s="1173">
        <f t="shared" si="9"/>
        <v>2.7777777777777777</v>
      </c>
    </row>
    <row r="58" spans="1:24" x14ac:dyDescent="0.25">
      <c r="A58" s="53"/>
      <c r="B58" s="1153"/>
      <c r="C58" s="1153" t="s">
        <v>129</v>
      </c>
      <c r="D58" s="1153"/>
      <c r="E58" s="1836"/>
      <c r="F58" s="1837"/>
      <c r="G58" s="1157"/>
      <c r="H58" s="1157"/>
      <c r="I58" s="1157" t="s">
        <v>129</v>
      </c>
      <c r="J58" s="983"/>
      <c r="K58" s="1846" t="str">
        <f t="shared" si="10"/>
        <v/>
      </c>
      <c r="L58" s="1846"/>
      <c r="M58" s="53"/>
      <c r="N58" s="53"/>
      <c r="O58" s="42">
        <f t="shared" si="6"/>
        <v>0</v>
      </c>
      <c r="S58" s="1171">
        <v>11.2</v>
      </c>
      <c r="T58" s="1172" t="s">
        <v>2351</v>
      </c>
      <c r="U58" s="1172">
        <v>1</v>
      </c>
      <c r="V58" s="1172">
        <v>30</v>
      </c>
      <c r="W58" s="1172"/>
      <c r="X58" s="1173">
        <f t="shared" si="9"/>
        <v>30</v>
      </c>
    </row>
    <row r="59" spans="1:24" x14ac:dyDescent="0.25">
      <c r="A59" s="53"/>
      <c r="B59" s="1153"/>
      <c r="C59" s="1153" t="s">
        <v>129</v>
      </c>
      <c r="D59" s="1153"/>
      <c r="E59" s="1836"/>
      <c r="F59" s="1837"/>
      <c r="G59" s="1157"/>
      <c r="H59" s="1157"/>
      <c r="I59" s="1157" t="s">
        <v>129</v>
      </c>
      <c r="J59" s="983"/>
      <c r="K59" s="1846" t="str">
        <f t="shared" si="10"/>
        <v/>
      </c>
      <c r="L59" s="1846"/>
      <c r="M59" s="53"/>
      <c r="N59" s="53"/>
      <c r="O59" s="42">
        <f t="shared" si="6"/>
        <v>0</v>
      </c>
      <c r="S59" s="1171">
        <v>11.3</v>
      </c>
      <c r="T59" s="1172" t="s">
        <v>2352</v>
      </c>
      <c r="U59" s="1172">
        <v>2</v>
      </c>
      <c r="V59" s="1172">
        <v>25</v>
      </c>
      <c r="W59" s="1172"/>
      <c r="X59" s="1173">
        <f t="shared" si="9"/>
        <v>12.5</v>
      </c>
    </row>
    <row r="60" spans="1:24" x14ac:dyDescent="0.25">
      <c r="A60" s="53"/>
      <c r="B60" s="1153"/>
      <c r="C60" s="1153" t="s">
        <v>129</v>
      </c>
      <c r="D60" s="1153"/>
      <c r="E60" s="1836"/>
      <c r="F60" s="1837"/>
      <c r="G60" s="186"/>
      <c r="H60" s="186"/>
      <c r="I60" s="1157" t="s">
        <v>129</v>
      </c>
      <c r="J60" s="983"/>
      <c r="K60" s="1846" t="str">
        <f t="shared" si="10"/>
        <v/>
      </c>
      <c r="L60" s="1846"/>
      <c r="M60" s="53"/>
      <c r="N60" s="53"/>
      <c r="O60" s="42">
        <f t="shared" si="6"/>
        <v>0</v>
      </c>
      <c r="S60" s="1171">
        <v>12.1</v>
      </c>
      <c r="T60" s="1172" t="s">
        <v>2353</v>
      </c>
      <c r="U60" s="1172">
        <v>9</v>
      </c>
      <c r="V60" s="1172">
        <v>35</v>
      </c>
      <c r="W60" s="1172"/>
      <c r="X60" s="1173">
        <f t="shared" si="9"/>
        <v>3.8888888888888888</v>
      </c>
    </row>
    <row r="61" spans="1:24" x14ac:dyDescent="0.25">
      <c r="A61" s="53"/>
      <c r="B61" s="1153"/>
      <c r="C61" s="1153" t="s">
        <v>129</v>
      </c>
      <c r="D61" s="1153"/>
      <c r="E61" s="1836"/>
      <c r="F61" s="1837"/>
      <c r="G61" s="186"/>
      <c r="H61" s="186"/>
      <c r="I61" s="1157" t="s">
        <v>129</v>
      </c>
      <c r="J61" s="983"/>
      <c r="K61" s="1846" t="str">
        <f t="shared" si="10"/>
        <v/>
      </c>
      <c r="L61" s="1846"/>
      <c r="M61" s="53"/>
      <c r="N61" s="53"/>
      <c r="O61" s="42">
        <f>IF(K61="Yes",D61,0)</f>
        <v>0</v>
      </c>
      <c r="S61" s="1179">
        <v>12.2</v>
      </c>
      <c r="T61" s="1180" t="s">
        <v>2354</v>
      </c>
      <c r="U61" s="1180">
        <v>9</v>
      </c>
      <c r="V61" s="1180">
        <v>30</v>
      </c>
      <c r="W61" s="1180"/>
      <c r="X61" s="1181">
        <f t="shared" si="9"/>
        <v>3.3333333333333335</v>
      </c>
    </row>
    <row r="62" spans="1:24" x14ac:dyDescent="0.25">
      <c r="A62" s="53"/>
      <c r="B62" s="207"/>
      <c r="C62" s="54"/>
      <c r="D62" s="54"/>
      <c r="E62" s="54"/>
      <c r="F62" s="54"/>
      <c r="G62" s="53"/>
      <c r="H62" s="53"/>
      <c r="I62" s="53"/>
      <c r="J62" s="53"/>
      <c r="K62" s="53"/>
      <c r="L62" s="53"/>
      <c r="M62" s="53"/>
    </row>
    <row r="63" spans="1:24" ht="17.25" customHeight="1" x14ac:dyDescent="0.25">
      <c r="A63" s="53"/>
      <c r="B63" s="1177" t="s">
        <v>2355</v>
      </c>
      <c r="C63" s="1178"/>
      <c r="D63" s="1178"/>
      <c r="E63" s="1178"/>
      <c r="F63" s="1178"/>
      <c r="G63" s="1178"/>
      <c r="H63" s="1178"/>
      <c r="I63" s="1178"/>
      <c r="J63" s="53"/>
      <c r="K63" s="53"/>
      <c r="L63" s="53"/>
      <c r="M63" s="53"/>
      <c r="N63" s="53"/>
    </row>
    <row r="64" spans="1:24" ht="27.75" customHeight="1" x14ac:dyDescent="0.25">
      <c r="A64" s="53"/>
      <c r="B64" s="1847" t="s">
        <v>2387</v>
      </c>
      <c r="C64" s="1847"/>
      <c r="D64" s="1847"/>
      <c r="E64" s="1847"/>
      <c r="F64" s="1847"/>
      <c r="G64" s="1847"/>
      <c r="H64" s="1847"/>
      <c r="I64" s="1847"/>
      <c r="J64" s="53"/>
      <c r="K64" s="53"/>
      <c r="L64" s="53"/>
      <c r="M64" s="53"/>
      <c r="N64" s="53"/>
    </row>
    <row r="65" spans="1:36" ht="13.5" customHeight="1" x14ac:dyDescent="0.25">
      <c r="A65" s="53"/>
      <c r="B65" s="1848"/>
      <c r="C65" s="1848"/>
      <c r="D65" s="1848"/>
      <c r="E65" s="1848"/>
      <c r="F65" s="1848"/>
      <c r="G65" s="1848"/>
      <c r="H65" s="1848"/>
      <c r="I65" s="1848"/>
      <c r="J65" s="1848"/>
      <c r="K65" s="53"/>
      <c r="L65" s="53"/>
      <c r="M65" s="53"/>
      <c r="N65" s="53"/>
    </row>
    <row r="66" spans="1:36" ht="15" customHeight="1" x14ac:dyDescent="0.25">
      <c r="A66" s="53"/>
      <c r="B66" s="1182" t="s">
        <v>2356</v>
      </c>
      <c r="C66" s="958"/>
      <c r="D66" s="958"/>
      <c r="E66" s="958"/>
      <c r="F66" s="958"/>
      <c r="G66" s="958"/>
      <c r="H66" s="1183"/>
      <c r="I66" s="1183"/>
      <c r="J66" s="1183"/>
      <c r="K66" s="958"/>
      <c r="L66" s="53"/>
      <c r="M66" s="53"/>
      <c r="N66" s="53"/>
    </row>
    <row r="67" spans="1:36" ht="27.75" customHeight="1" x14ac:dyDescent="0.25">
      <c r="A67" s="53"/>
      <c r="B67" s="1849" t="s">
        <v>2357</v>
      </c>
      <c r="C67" s="1849"/>
      <c r="D67" s="1849"/>
      <c r="E67" s="1849"/>
      <c r="F67" s="1849"/>
      <c r="G67" s="1849"/>
      <c r="H67" s="1849"/>
      <c r="I67" s="1849"/>
      <c r="J67" s="1849"/>
      <c r="K67" s="1849"/>
      <c r="L67" s="53"/>
      <c r="M67" s="53"/>
      <c r="N67" s="53"/>
    </row>
    <row r="68" spans="1:36" x14ac:dyDescent="0.25">
      <c r="A68" s="53"/>
      <c r="B68" s="53"/>
      <c r="C68" s="53"/>
      <c r="D68" s="53"/>
      <c r="E68" s="53"/>
      <c r="F68" s="53"/>
      <c r="G68" s="53"/>
      <c r="H68" s="1184"/>
      <c r="I68" s="1184"/>
      <c r="J68" s="1184"/>
      <c r="K68" s="53"/>
      <c r="L68" s="53"/>
      <c r="M68" s="53"/>
      <c r="N68" s="53"/>
    </row>
    <row r="69" spans="1:36" ht="15" customHeight="1" x14ac:dyDescent="0.25">
      <c r="A69" s="53"/>
      <c r="B69" s="1838" t="s">
        <v>2358</v>
      </c>
      <c r="C69" s="1839"/>
      <c r="D69" s="1840" t="s">
        <v>129</v>
      </c>
      <c r="E69" s="1841"/>
      <c r="F69" s="1842" t="s">
        <v>2359</v>
      </c>
      <c r="G69" s="1843"/>
      <c r="H69" s="1844"/>
      <c r="I69" s="1845"/>
      <c r="J69" s="1184"/>
      <c r="K69" s="53"/>
      <c r="L69" s="53"/>
      <c r="M69" s="53"/>
      <c r="N69" s="53"/>
    </row>
    <row r="70" spans="1:36" x14ac:dyDescent="0.25">
      <c r="A70" s="53"/>
      <c r="B70" s="207"/>
      <c r="C70" s="54"/>
      <c r="D70" s="54"/>
      <c r="E70" s="54"/>
      <c r="F70" s="54"/>
      <c r="G70" s="53"/>
      <c r="H70" s="53"/>
      <c r="I70" s="53"/>
      <c r="J70" s="53"/>
      <c r="K70" s="53"/>
      <c r="L70" s="53"/>
      <c r="M70" s="53"/>
      <c r="N70" s="53"/>
      <c r="P70" s="42" t="s">
        <v>129</v>
      </c>
    </row>
    <row r="71" spans="1:36" ht="25.5" customHeight="1" x14ac:dyDescent="0.25">
      <c r="A71" s="53"/>
      <c r="B71" s="443" t="s">
        <v>2334</v>
      </c>
      <c r="C71" s="1164" t="s">
        <v>575</v>
      </c>
      <c r="D71" s="1164" t="s">
        <v>43</v>
      </c>
      <c r="E71" s="1164" t="str">
        <f>IF(D69&lt;&gt;"TCVN 5687:2010","Compliant with standard?","Number of occupants")</f>
        <v>Compliant with standard?</v>
      </c>
      <c r="F71" s="1164" t="s">
        <v>1755</v>
      </c>
      <c r="G71" s="1164" t="s">
        <v>2360</v>
      </c>
      <c r="H71" s="1164" t="s">
        <v>2361</v>
      </c>
      <c r="I71" s="1164" t="s">
        <v>2362</v>
      </c>
      <c r="J71" s="1156" t="s">
        <v>182</v>
      </c>
      <c r="K71" s="1834" t="s">
        <v>33</v>
      </c>
      <c r="L71" s="1835"/>
      <c r="M71" s="53"/>
      <c r="P71" s="42" t="s">
        <v>2363</v>
      </c>
    </row>
    <row r="72" spans="1:36" x14ac:dyDescent="0.25">
      <c r="A72" s="53"/>
      <c r="B72" s="1154"/>
      <c r="C72" s="1154" t="s">
        <v>129</v>
      </c>
      <c r="D72" s="418"/>
      <c r="E72" s="1185">
        <v>2</v>
      </c>
      <c r="F72" s="1154" t="s">
        <v>2363</v>
      </c>
      <c r="G72" s="1154" t="s">
        <v>2364</v>
      </c>
      <c r="H72" s="1186" t="str">
        <f>IFERROR(IF(VLOOKUP(G72,$T$6:$X$61,3,FALSE)="/",E72*VLOOKUP(G72,$T$6:$X$61,4,FALSE),E72*VLOOKUP(G72,$T$6:$X$61,3,FALSE)),"")</f>
        <v/>
      </c>
      <c r="I72" s="1154">
        <v>75</v>
      </c>
      <c r="J72" s="1187" t="str">
        <f t="shared" ref="J72:J91" si="11">IF(OR(D72="",I72=""),"",IF(I72&gt;=H72,"Yes","No"))</f>
        <v/>
      </c>
      <c r="K72" s="1836"/>
      <c r="L72" s="1837"/>
      <c r="M72" s="53"/>
      <c r="O72" s="42">
        <f>IF(J72="Yes",D72,0)</f>
        <v>0</v>
      </c>
      <c r="P72" s="42" t="s">
        <v>2365</v>
      </c>
      <c r="R72" s="42">
        <f t="shared" ref="R72:R91" si="12">IF($F72=$P$71,1.1,IF($F72=$P$72,2.1,IF($F72=$P$73,3.1,IF($F72=$P$74,4.1,IF($F72=$P$75,5.1,IF($F72=$P$75,6.1,IF($F72=$P$76,7.1,IF($F72=$P$77,8.1,IF($F72=$P$78,8.1,IF($F72=$P$79,9.1,IF($F72=$P$80,10.1,IF($F72=$P$81,11.1,IF($F72=$P$82,12.1)))))))))))))</f>
        <v>1.1000000000000001</v>
      </c>
      <c r="S72" s="42">
        <f t="shared" ref="S72:S91" si="13">IF($F72=$P$71,1.2,IF($F72=$P$72,2.2,IF($F72=$P$73,3.2,IF($F72=$P$74,4.2,IF($F72=$P$75,5.2,IF($F72=$P$75,6.2,IF($F72=$P$76,7.2,IF($F72=$P$77,8.2,IF($F72=$P$78,8.2,IF($F72=$P$79,9.2,IF($F72=$P$80,10.2,IF($F72=$P$81,11.2,IF($F72=$P$82,12.2)))))))))))))</f>
        <v>1.2</v>
      </c>
      <c r="T72" s="42">
        <f t="shared" ref="T72:T91" si="14">IF($F72=$P$71,1.3,IF($F72=$P$72,2.3,IF($F72=$P$73,3.3,IF($F72=$P$74,4.3,IF($F72=$P$75,5.3,IF($F72=$P$75,6.3,IF($F72=$P$76,7.3,IF($F72=$P$77,8.3,IF($F72=$P$78,8.3,IF($F72=$P$79,9.3,IF($F72=$P$80,10.3,IF($F72=$P$81,11.3,IF($F72=$P$82,12.3)))))))))))))</f>
        <v>1.3</v>
      </c>
      <c r="U72" s="42">
        <f t="shared" ref="U72:U91" si="15">IF($F72=$P$71,1.4,IF($F72=$P$72,2.4,IF($F72=$P$73,3.4,IF($F72=$P$74,4.4,IF($F72=$P$75,5.4,IF($F72=$P$75,6.4,IF($F72=$P$76,7.4,IF($F72=$P$77,8.4,IF($F72=$P$78,8.4,IF($F72=$P$79,9.4,IF($F72=$P$80,10.4,IF($F72=$P$81,11.4,IF($F72=$P$82,12.4)))))))))))))</f>
        <v>1.4</v>
      </c>
      <c r="V72" s="42">
        <f t="shared" ref="V72:V91" si="16">IF($F72=$P$71,1.5,IF($F72=$P$72,2.5,IF($F72=$P$73,3.5,IF($F72=$P$74,4.5,IF($F72=$P$75,5.5,IF($F72=$P$75,6.5,IF($F72=$P$76,7.5,IF($F72=$P$77,8.5,IF($F72=$P$78,8.5,IF($F72=$P$79,9.5,IF($F72=$P$80,10.5,IF($F72=$P$81,11.5,IF($F72=$P$82,12.5)))))))))))))</f>
        <v>1.5</v>
      </c>
      <c r="W72" s="42">
        <f t="shared" ref="W72:W91" si="17">IF($F72=$P$71,1.6,IF($F72=$P$72,2.6,IF($F72=$P$73,3.6,IF($F72=$P$74,4.6,IF($F72=$P$75,5.6,IF($F72=$P$75,6.6,IF($F72=$P$76,7.6,IF($F72=$P$77,8.6,IF($F72=$P$78,8.6,IF($F72=$P$79,9.6,IF($F72=$P$80,10.6,IF($F72=$P$81,11.6,IF($F72=$P$82,12.6)))))))))))))</f>
        <v>1.6</v>
      </c>
      <c r="X72" s="42">
        <f t="shared" ref="X72:X91" si="18">IF($F72=$P$71,1.7,IF($F72=$P$72,2.7,IF($F72=$P$73,3.7,IF($F72=$P$74,4.7,IF($F72=$P$75,5.7,IF($F72=$P$75,6.7,IF($F72=$P$76,7.7,IF($F72=$P$77,8.7,IF($F72=$P$78,8.7,IF($F72=$P$79,9.7,IF($F72=$P$80,10.7,IF($F72=$P$81,11.7,IF($F72=$P$82,12.7)))))))))))))</f>
        <v>1.7</v>
      </c>
      <c r="Y72" s="42">
        <f t="shared" ref="Y72:Y91" si="19">IF($F72=$P$71,1.8,IF($F72=$P$72,2.8,IF($F72=$P$73,3.8,IF($F72=$P$74,4.8,IF($F72=$P$75,5.8,IF($F72=$P$75,6.8,IF($F72=$P$76,7.8,IF($F72=$P$77,8.8,IF($F72=$P$78,8.8,IF($F72=$P$79,9.8,IF($F72=$P$80,10.8,IF($F72=$P$81,11.8,IF($F72=$P$82,12.8)))))))))))))</f>
        <v>1.8</v>
      </c>
      <c r="Z72" s="42">
        <f t="shared" ref="Z72:Z91" si="20">IF($F72=$P$71,1.9,IF($F72=$P$72,2.9,IF($F72=$P$73,3.9,IF($F72=$P$74,4.9,IF($F72=$P$75,5.9,IF($F72=$P$75,6.9,IF($F72=$P$76,7.9,IF($F72=$P$77,8.9,IF($F72=$P$78,8.9,IF($F72=$P$79,9.9,IF($F72=$P$80,10.9,IF($F72=$P$81,11.9,IF($F72=$P$82,12.9)))))))))))))</f>
        <v>1.9</v>
      </c>
      <c r="AA72" s="42" t="s">
        <v>129</v>
      </c>
      <c r="AB72" s="42" t="str">
        <f>IFERROR(VLOOKUP(R72,$S$6:$T$61,2,FALSE),"/")</f>
        <v>/</v>
      </c>
      <c r="AC72" s="42" t="str">
        <f t="shared" ref="AC72:AJ87" si="21">IFERROR(VLOOKUP(S72,$S$6:$T$61,2,FALSE),"/")</f>
        <v>/</v>
      </c>
      <c r="AD72" s="42" t="str">
        <f t="shared" si="21"/>
        <v>/</v>
      </c>
      <c r="AE72" s="42" t="str">
        <f t="shared" si="21"/>
        <v>/</v>
      </c>
      <c r="AF72" s="42" t="str">
        <f t="shared" si="21"/>
        <v>/</v>
      </c>
      <c r="AG72" s="42" t="str">
        <f t="shared" si="21"/>
        <v>/</v>
      </c>
      <c r="AH72" s="42" t="str">
        <f t="shared" si="21"/>
        <v>/</v>
      </c>
      <c r="AI72" s="42" t="str">
        <f t="shared" si="21"/>
        <v>/</v>
      </c>
      <c r="AJ72" s="42" t="str">
        <f t="shared" si="21"/>
        <v>/</v>
      </c>
    </row>
    <row r="73" spans="1:36" x14ac:dyDescent="0.25">
      <c r="A73" s="53"/>
      <c r="B73" s="1153"/>
      <c r="C73" s="1153" t="s">
        <v>129</v>
      </c>
      <c r="D73" s="1157"/>
      <c r="E73" s="504"/>
      <c r="F73" s="1154" t="s">
        <v>129</v>
      </c>
      <c r="G73" s="1154" t="s">
        <v>129</v>
      </c>
      <c r="H73" s="1186" t="str">
        <f t="shared" ref="H73:H91" si="22">IFERROR(IF(VLOOKUP(G73,$T$6:$X$61,3,FALSE)="/",E73*VLOOKUP(G73,$T$6:$X$61,4,FALSE),E73*VLOOKUP(G73,$T$6:$X$61,3,FALSE)),"")</f>
        <v/>
      </c>
      <c r="I73" s="1153">
        <v>50</v>
      </c>
      <c r="J73" s="1187" t="str">
        <f t="shared" si="11"/>
        <v/>
      </c>
      <c r="K73" s="1836"/>
      <c r="L73" s="1837"/>
      <c r="M73" s="53"/>
      <c r="O73" s="42">
        <f t="shared" ref="O73:O91" si="23">IF(J73="Yes",D73,0)</f>
        <v>0</v>
      </c>
      <c r="P73" s="42" t="s">
        <v>2366</v>
      </c>
      <c r="R73" s="42" t="b">
        <f t="shared" si="12"/>
        <v>0</v>
      </c>
      <c r="S73" s="42" t="b">
        <f t="shared" si="13"/>
        <v>0</v>
      </c>
      <c r="T73" s="42" t="b">
        <f t="shared" si="14"/>
        <v>0</v>
      </c>
      <c r="U73" s="42" t="b">
        <f t="shared" si="15"/>
        <v>0</v>
      </c>
      <c r="V73" s="42" t="b">
        <f t="shared" si="16"/>
        <v>0</v>
      </c>
      <c r="W73" s="42" t="b">
        <f t="shared" si="17"/>
        <v>0</v>
      </c>
      <c r="X73" s="42" t="b">
        <f t="shared" si="18"/>
        <v>0</v>
      </c>
      <c r="Y73" s="42" t="b">
        <f t="shared" si="19"/>
        <v>0</v>
      </c>
      <c r="Z73" s="42" t="b">
        <f t="shared" si="20"/>
        <v>0</v>
      </c>
      <c r="AA73" s="42" t="s">
        <v>129</v>
      </c>
      <c r="AB73" s="42" t="str">
        <f>IFERROR(VLOOKUP(R73,$S$6:$T$61,2,FALSE),"/")</f>
        <v>/</v>
      </c>
      <c r="AC73" s="42" t="str">
        <f t="shared" si="21"/>
        <v>/</v>
      </c>
      <c r="AD73" s="42" t="str">
        <f t="shared" si="21"/>
        <v>/</v>
      </c>
      <c r="AE73" s="42" t="str">
        <f t="shared" si="21"/>
        <v>/</v>
      </c>
      <c r="AF73" s="42" t="str">
        <f t="shared" si="21"/>
        <v>/</v>
      </c>
      <c r="AG73" s="42" t="str">
        <f t="shared" si="21"/>
        <v>/</v>
      </c>
      <c r="AH73" s="42" t="str">
        <f t="shared" si="21"/>
        <v>/</v>
      </c>
      <c r="AI73" s="42" t="str">
        <f t="shared" si="21"/>
        <v>/</v>
      </c>
      <c r="AJ73" s="42" t="str">
        <f t="shared" si="21"/>
        <v>/</v>
      </c>
    </row>
    <row r="74" spans="1:36" x14ac:dyDescent="0.25">
      <c r="A74" s="53"/>
      <c r="B74" s="1153"/>
      <c r="C74" s="1153" t="s">
        <v>129</v>
      </c>
      <c r="D74" s="1157"/>
      <c r="E74" s="504"/>
      <c r="F74" s="1154" t="s">
        <v>129</v>
      </c>
      <c r="G74" s="1154" t="s">
        <v>129</v>
      </c>
      <c r="H74" s="1186" t="str">
        <f t="shared" si="22"/>
        <v/>
      </c>
      <c r="I74" s="1153"/>
      <c r="J74" s="1187" t="str">
        <f t="shared" si="11"/>
        <v/>
      </c>
      <c r="K74" s="1836"/>
      <c r="L74" s="1837"/>
      <c r="M74" s="53"/>
      <c r="O74" s="42">
        <f t="shared" si="23"/>
        <v>0</v>
      </c>
      <c r="P74" s="42" t="s">
        <v>2367</v>
      </c>
      <c r="R74" s="42" t="b">
        <f t="shared" si="12"/>
        <v>0</v>
      </c>
      <c r="S74" s="42" t="b">
        <f t="shared" si="13"/>
        <v>0</v>
      </c>
      <c r="T74" s="42" t="b">
        <f t="shared" si="14"/>
        <v>0</v>
      </c>
      <c r="U74" s="42" t="b">
        <f t="shared" si="15"/>
        <v>0</v>
      </c>
      <c r="V74" s="42" t="b">
        <f t="shared" si="16"/>
        <v>0</v>
      </c>
      <c r="W74" s="42" t="b">
        <f t="shared" si="17"/>
        <v>0</v>
      </c>
      <c r="X74" s="42" t="b">
        <f t="shared" si="18"/>
        <v>0</v>
      </c>
      <c r="Y74" s="42" t="b">
        <f t="shared" si="19"/>
        <v>0</v>
      </c>
      <c r="Z74" s="42" t="b">
        <f t="shared" si="20"/>
        <v>0</v>
      </c>
      <c r="AA74" s="42" t="s">
        <v>129</v>
      </c>
      <c r="AB74" s="42" t="str">
        <f t="shared" ref="AB74:AJ91" si="24">IFERROR(VLOOKUP(R74,$S$6:$T$61,2,FALSE),"/")</f>
        <v>/</v>
      </c>
      <c r="AC74" s="42" t="str">
        <f t="shared" si="21"/>
        <v>/</v>
      </c>
      <c r="AD74" s="42" t="str">
        <f t="shared" si="21"/>
        <v>/</v>
      </c>
      <c r="AE74" s="42" t="str">
        <f t="shared" si="21"/>
        <v>/</v>
      </c>
      <c r="AF74" s="42" t="str">
        <f t="shared" si="21"/>
        <v>/</v>
      </c>
      <c r="AG74" s="42" t="str">
        <f t="shared" si="21"/>
        <v>/</v>
      </c>
      <c r="AH74" s="42" t="str">
        <f t="shared" si="21"/>
        <v>/</v>
      </c>
      <c r="AI74" s="42" t="str">
        <f t="shared" si="21"/>
        <v>/</v>
      </c>
      <c r="AJ74" s="42" t="str">
        <f t="shared" si="21"/>
        <v>/</v>
      </c>
    </row>
    <row r="75" spans="1:36" x14ac:dyDescent="0.25">
      <c r="A75" s="53"/>
      <c r="B75" s="1153"/>
      <c r="C75" s="1153" t="s">
        <v>129</v>
      </c>
      <c r="D75" s="1157"/>
      <c r="E75" s="504"/>
      <c r="F75" s="1154" t="s">
        <v>129</v>
      </c>
      <c r="G75" s="1154" t="s">
        <v>129</v>
      </c>
      <c r="H75" s="1186" t="str">
        <f t="shared" si="22"/>
        <v/>
      </c>
      <c r="I75" s="1153"/>
      <c r="J75" s="1187" t="str">
        <f t="shared" si="11"/>
        <v/>
      </c>
      <c r="K75" s="1836"/>
      <c r="L75" s="1837"/>
      <c r="M75" s="53"/>
      <c r="O75" s="42">
        <f t="shared" si="23"/>
        <v>0</v>
      </c>
      <c r="P75" s="42" t="s">
        <v>2368</v>
      </c>
      <c r="R75" s="42" t="b">
        <f t="shared" si="12"/>
        <v>0</v>
      </c>
      <c r="S75" s="42" t="b">
        <f t="shared" si="13"/>
        <v>0</v>
      </c>
      <c r="T75" s="42" t="b">
        <f t="shared" si="14"/>
        <v>0</v>
      </c>
      <c r="U75" s="42" t="b">
        <f t="shared" si="15"/>
        <v>0</v>
      </c>
      <c r="V75" s="42" t="b">
        <f t="shared" si="16"/>
        <v>0</v>
      </c>
      <c r="W75" s="42" t="b">
        <f t="shared" si="17"/>
        <v>0</v>
      </c>
      <c r="X75" s="42" t="b">
        <f t="shared" si="18"/>
        <v>0</v>
      </c>
      <c r="Y75" s="42" t="b">
        <f t="shared" si="19"/>
        <v>0</v>
      </c>
      <c r="Z75" s="42" t="b">
        <f t="shared" si="20"/>
        <v>0</v>
      </c>
      <c r="AA75" s="42" t="s">
        <v>129</v>
      </c>
      <c r="AB75" s="42" t="str">
        <f t="shared" si="24"/>
        <v>/</v>
      </c>
      <c r="AC75" s="42" t="str">
        <f t="shared" si="21"/>
        <v>/</v>
      </c>
      <c r="AD75" s="42" t="str">
        <f t="shared" si="21"/>
        <v>/</v>
      </c>
      <c r="AE75" s="42" t="str">
        <f t="shared" si="21"/>
        <v>/</v>
      </c>
      <c r="AF75" s="42" t="str">
        <f t="shared" si="21"/>
        <v>/</v>
      </c>
      <c r="AG75" s="42" t="str">
        <f t="shared" si="21"/>
        <v>/</v>
      </c>
      <c r="AH75" s="42" t="str">
        <f t="shared" si="21"/>
        <v>/</v>
      </c>
      <c r="AI75" s="42" t="str">
        <f t="shared" si="21"/>
        <v>/</v>
      </c>
      <c r="AJ75" s="42" t="str">
        <f t="shared" si="21"/>
        <v>/</v>
      </c>
    </row>
    <row r="76" spans="1:36" x14ac:dyDescent="0.25">
      <c r="A76" s="53"/>
      <c r="B76" s="1153"/>
      <c r="C76" s="1153" t="s">
        <v>129</v>
      </c>
      <c r="D76" s="1157"/>
      <c r="E76" s="504"/>
      <c r="F76" s="1154" t="s">
        <v>129</v>
      </c>
      <c r="G76" s="1154" t="s">
        <v>129</v>
      </c>
      <c r="H76" s="1186" t="str">
        <f t="shared" si="22"/>
        <v/>
      </c>
      <c r="I76" s="1153"/>
      <c r="J76" s="1187" t="str">
        <f t="shared" si="11"/>
        <v/>
      </c>
      <c r="K76" s="1836"/>
      <c r="L76" s="1837"/>
      <c r="M76" s="53"/>
      <c r="O76" s="42">
        <f t="shared" si="23"/>
        <v>0</v>
      </c>
      <c r="P76" s="1188" t="s">
        <v>2369</v>
      </c>
      <c r="Q76" s="1188"/>
      <c r="R76" s="42" t="b">
        <f t="shared" si="12"/>
        <v>0</v>
      </c>
      <c r="S76" s="42" t="b">
        <f t="shared" si="13"/>
        <v>0</v>
      </c>
      <c r="T76" s="42" t="b">
        <f t="shared" si="14"/>
        <v>0</v>
      </c>
      <c r="U76" s="42" t="b">
        <f t="shared" si="15"/>
        <v>0</v>
      </c>
      <c r="V76" s="42" t="b">
        <f t="shared" si="16"/>
        <v>0</v>
      </c>
      <c r="W76" s="42" t="b">
        <f t="shared" si="17"/>
        <v>0</v>
      </c>
      <c r="X76" s="42" t="b">
        <f t="shared" si="18"/>
        <v>0</v>
      </c>
      <c r="Y76" s="42" t="b">
        <f t="shared" si="19"/>
        <v>0</v>
      </c>
      <c r="Z76" s="42" t="b">
        <f t="shared" si="20"/>
        <v>0</v>
      </c>
      <c r="AA76" s="42" t="s">
        <v>129</v>
      </c>
      <c r="AB76" s="42" t="str">
        <f t="shared" si="24"/>
        <v>/</v>
      </c>
      <c r="AC76" s="42" t="str">
        <f t="shared" si="21"/>
        <v>/</v>
      </c>
      <c r="AD76" s="42" t="str">
        <f t="shared" si="21"/>
        <v>/</v>
      </c>
      <c r="AE76" s="42" t="str">
        <f t="shared" si="21"/>
        <v>/</v>
      </c>
      <c r="AF76" s="42" t="str">
        <f t="shared" si="21"/>
        <v>/</v>
      </c>
      <c r="AG76" s="42" t="str">
        <f t="shared" si="21"/>
        <v>/</v>
      </c>
      <c r="AH76" s="42" t="str">
        <f t="shared" si="21"/>
        <v>/</v>
      </c>
      <c r="AI76" s="42" t="str">
        <f t="shared" si="21"/>
        <v>/</v>
      </c>
      <c r="AJ76" s="42" t="str">
        <f t="shared" si="21"/>
        <v>/</v>
      </c>
    </row>
    <row r="77" spans="1:36" x14ac:dyDescent="0.25">
      <c r="A77" s="53"/>
      <c r="B77" s="1153"/>
      <c r="C77" s="1153" t="s">
        <v>129</v>
      </c>
      <c r="D77" s="1157"/>
      <c r="E77" s="504"/>
      <c r="F77" s="1154" t="s">
        <v>129</v>
      </c>
      <c r="G77" s="1154" t="s">
        <v>129</v>
      </c>
      <c r="H77" s="1186" t="str">
        <f t="shared" si="22"/>
        <v/>
      </c>
      <c r="I77" s="1153"/>
      <c r="J77" s="1187" t="str">
        <f t="shared" si="11"/>
        <v/>
      </c>
      <c r="K77" s="1836"/>
      <c r="L77" s="1837"/>
      <c r="M77" s="53"/>
      <c r="O77" s="42">
        <f t="shared" si="23"/>
        <v>0</v>
      </c>
      <c r="P77" s="42" t="s">
        <v>2370</v>
      </c>
      <c r="R77" s="42" t="b">
        <f t="shared" si="12"/>
        <v>0</v>
      </c>
      <c r="S77" s="42" t="b">
        <f t="shared" si="13"/>
        <v>0</v>
      </c>
      <c r="T77" s="42" t="b">
        <f t="shared" si="14"/>
        <v>0</v>
      </c>
      <c r="U77" s="42" t="b">
        <f t="shared" si="15"/>
        <v>0</v>
      </c>
      <c r="V77" s="42" t="b">
        <f t="shared" si="16"/>
        <v>0</v>
      </c>
      <c r="W77" s="42" t="b">
        <f t="shared" si="17"/>
        <v>0</v>
      </c>
      <c r="X77" s="42" t="b">
        <f t="shared" si="18"/>
        <v>0</v>
      </c>
      <c r="Y77" s="42" t="b">
        <f t="shared" si="19"/>
        <v>0</v>
      </c>
      <c r="Z77" s="42" t="b">
        <f t="shared" si="20"/>
        <v>0</v>
      </c>
      <c r="AA77" s="42" t="s">
        <v>129</v>
      </c>
      <c r="AB77" s="42" t="str">
        <f t="shared" si="24"/>
        <v>/</v>
      </c>
      <c r="AC77" s="42" t="str">
        <f t="shared" si="21"/>
        <v>/</v>
      </c>
      <c r="AD77" s="42" t="str">
        <f t="shared" si="21"/>
        <v>/</v>
      </c>
      <c r="AE77" s="42" t="str">
        <f t="shared" si="21"/>
        <v>/</v>
      </c>
      <c r="AF77" s="42" t="str">
        <f t="shared" si="21"/>
        <v>/</v>
      </c>
      <c r="AG77" s="42" t="str">
        <f t="shared" si="21"/>
        <v>/</v>
      </c>
      <c r="AH77" s="42" t="str">
        <f t="shared" si="21"/>
        <v>/</v>
      </c>
      <c r="AI77" s="42" t="str">
        <f t="shared" si="21"/>
        <v>/</v>
      </c>
      <c r="AJ77" s="42" t="str">
        <f t="shared" si="21"/>
        <v>/</v>
      </c>
    </row>
    <row r="78" spans="1:36" x14ac:dyDescent="0.25">
      <c r="A78" s="53"/>
      <c r="B78" s="1153"/>
      <c r="C78" s="1153" t="s">
        <v>129</v>
      </c>
      <c r="D78" s="1157"/>
      <c r="E78" s="504"/>
      <c r="F78" s="1154" t="s">
        <v>129</v>
      </c>
      <c r="G78" s="1154" t="s">
        <v>129</v>
      </c>
      <c r="H78" s="1186" t="str">
        <f t="shared" si="22"/>
        <v/>
      </c>
      <c r="I78" s="1153"/>
      <c r="J78" s="1187" t="str">
        <f t="shared" si="11"/>
        <v/>
      </c>
      <c r="K78" s="1836"/>
      <c r="L78" s="1837"/>
      <c r="M78" s="53"/>
      <c r="O78" s="42">
        <f t="shared" si="23"/>
        <v>0</v>
      </c>
      <c r="P78" s="42" t="s">
        <v>2371</v>
      </c>
      <c r="R78" s="42" t="b">
        <f t="shared" si="12"/>
        <v>0</v>
      </c>
      <c r="S78" s="42" t="b">
        <f t="shared" si="13"/>
        <v>0</v>
      </c>
      <c r="T78" s="42" t="b">
        <f t="shared" si="14"/>
        <v>0</v>
      </c>
      <c r="U78" s="42" t="b">
        <f t="shared" si="15"/>
        <v>0</v>
      </c>
      <c r="V78" s="42" t="b">
        <f t="shared" si="16"/>
        <v>0</v>
      </c>
      <c r="W78" s="42" t="b">
        <f t="shared" si="17"/>
        <v>0</v>
      </c>
      <c r="X78" s="42" t="b">
        <f t="shared" si="18"/>
        <v>0</v>
      </c>
      <c r="Y78" s="42" t="b">
        <f t="shared" si="19"/>
        <v>0</v>
      </c>
      <c r="Z78" s="42" t="b">
        <f t="shared" si="20"/>
        <v>0</v>
      </c>
      <c r="AA78" s="42" t="s">
        <v>129</v>
      </c>
      <c r="AB78" s="42" t="str">
        <f t="shared" si="24"/>
        <v>/</v>
      </c>
      <c r="AC78" s="42" t="str">
        <f t="shared" si="21"/>
        <v>/</v>
      </c>
      <c r="AD78" s="42" t="str">
        <f t="shared" si="21"/>
        <v>/</v>
      </c>
      <c r="AE78" s="42" t="str">
        <f t="shared" si="21"/>
        <v>/</v>
      </c>
      <c r="AF78" s="42" t="str">
        <f t="shared" si="21"/>
        <v>/</v>
      </c>
      <c r="AG78" s="42" t="str">
        <f t="shared" si="21"/>
        <v>/</v>
      </c>
      <c r="AH78" s="42" t="str">
        <f t="shared" si="21"/>
        <v>/</v>
      </c>
      <c r="AI78" s="42" t="str">
        <f t="shared" si="21"/>
        <v>/</v>
      </c>
      <c r="AJ78" s="42" t="str">
        <f t="shared" si="21"/>
        <v>/</v>
      </c>
    </row>
    <row r="79" spans="1:36" x14ac:dyDescent="0.25">
      <c r="A79" s="53"/>
      <c r="B79" s="1153"/>
      <c r="C79" s="1153" t="s">
        <v>129</v>
      </c>
      <c r="D79" s="1157"/>
      <c r="E79" s="504"/>
      <c r="F79" s="1154" t="s">
        <v>129</v>
      </c>
      <c r="G79" s="1154" t="s">
        <v>129</v>
      </c>
      <c r="H79" s="1186" t="str">
        <f t="shared" si="22"/>
        <v/>
      </c>
      <c r="I79" s="1153"/>
      <c r="J79" s="1187" t="str">
        <f t="shared" si="11"/>
        <v/>
      </c>
      <c r="K79" s="1836"/>
      <c r="L79" s="1837"/>
      <c r="M79" s="53"/>
      <c r="O79" s="42">
        <f t="shared" si="23"/>
        <v>0</v>
      </c>
      <c r="P79" s="42" t="s">
        <v>2372</v>
      </c>
      <c r="R79" s="42" t="b">
        <f t="shared" si="12"/>
        <v>0</v>
      </c>
      <c r="S79" s="42" t="b">
        <f t="shared" si="13"/>
        <v>0</v>
      </c>
      <c r="T79" s="42" t="b">
        <f t="shared" si="14"/>
        <v>0</v>
      </c>
      <c r="U79" s="42" t="b">
        <f t="shared" si="15"/>
        <v>0</v>
      </c>
      <c r="V79" s="42" t="b">
        <f t="shared" si="16"/>
        <v>0</v>
      </c>
      <c r="W79" s="42" t="b">
        <f t="shared" si="17"/>
        <v>0</v>
      </c>
      <c r="X79" s="42" t="b">
        <f t="shared" si="18"/>
        <v>0</v>
      </c>
      <c r="Y79" s="42" t="b">
        <f t="shared" si="19"/>
        <v>0</v>
      </c>
      <c r="Z79" s="42" t="b">
        <f t="shared" si="20"/>
        <v>0</v>
      </c>
      <c r="AA79" s="42" t="s">
        <v>129</v>
      </c>
      <c r="AB79" s="42" t="str">
        <f t="shared" si="24"/>
        <v>/</v>
      </c>
      <c r="AC79" s="42" t="str">
        <f t="shared" si="21"/>
        <v>/</v>
      </c>
      <c r="AD79" s="42" t="str">
        <f t="shared" si="21"/>
        <v>/</v>
      </c>
      <c r="AE79" s="42" t="str">
        <f t="shared" si="21"/>
        <v>/</v>
      </c>
      <c r="AF79" s="42" t="str">
        <f t="shared" si="21"/>
        <v>/</v>
      </c>
      <c r="AG79" s="42" t="str">
        <f t="shared" si="21"/>
        <v>/</v>
      </c>
      <c r="AH79" s="42" t="str">
        <f t="shared" si="21"/>
        <v>/</v>
      </c>
      <c r="AI79" s="42" t="str">
        <f t="shared" si="21"/>
        <v>/</v>
      </c>
      <c r="AJ79" s="42" t="str">
        <f t="shared" si="21"/>
        <v>/</v>
      </c>
    </row>
    <row r="80" spans="1:36" x14ac:dyDescent="0.25">
      <c r="A80" s="53"/>
      <c r="B80" s="1153"/>
      <c r="C80" s="1153" t="s">
        <v>129</v>
      </c>
      <c r="D80" s="1157"/>
      <c r="E80" s="504"/>
      <c r="F80" s="1154" t="s">
        <v>129</v>
      </c>
      <c r="G80" s="1154" t="s">
        <v>129</v>
      </c>
      <c r="H80" s="1186" t="str">
        <f t="shared" si="22"/>
        <v/>
      </c>
      <c r="I80" s="1153"/>
      <c r="J80" s="1187" t="str">
        <f t="shared" si="11"/>
        <v/>
      </c>
      <c r="K80" s="1836"/>
      <c r="L80" s="1837"/>
      <c r="M80" s="53"/>
      <c r="O80" s="42">
        <f t="shared" si="23"/>
        <v>0</v>
      </c>
      <c r="P80" s="42" t="s">
        <v>2373</v>
      </c>
      <c r="R80" s="42" t="b">
        <f t="shared" si="12"/>
        <v>0</v>
      </c>
      <c r="S80" s="42" t="b">
        <f t="shared" si="13"/>
        <v>0</v>
      </c>
      <c r="T80" s="42" t="b">
        <f t="shared" si="14"/>
        <v>0</v>
      </c>
      <c r="U80" s="42" t="b">
        <f t="shared" si="15"/>
        <v>0</v>
      </c>
      <c r="V80" s="42" t="b">
        <f t="shared" si="16"/>
        <v>0</v>
      </c>
      <c r="W80" s="42" t="b">
        <f t="shared" si="17"/>
        <v>0</v>
      </c>
      <c r="X80" s="42" t="b">
        <f t="shared" si="18"/>
        <v>0</v>
      </c>
      <c r="Y80" s="42" t="b">
        <f t="shared" si="19"/>
        <v>0</v>
      </c>
      <c r="Z80" s="42" t="b">
        <f t="shared" si="20"/>
        <v>0</v>
      </c>
      <c r="AA80" s="42" t="s">
        <v>129</v>
      </c>
      <c r="AB80" s="42" t="str">
        <f t="shared" si="24"/>
        <v>/</v>
      </c>
      <c r="AC80" s="42" t="str">
        <f t="shared" si="21"/>
        <v>/</v>
      </c>
      <c r="AD80" s="42" t="str">
        <f t="shared" si="21"/>
        <v>/</v>
      </c>
      <c r="AE80" s="42" t="str">
        <f t="shared" si="21"/>
        <v>/</v>
      </c>
      <c r="AF80" s="42" t="str">
        <f t="shared" si="21"/>
        <v>/</v>
      </c>
      <c r="AG80" s="42" t="str">
        <f t="shared" si="21"/>
        <v>/</v>
      </c>
      <c r="AH80" s="42" t="str">
        <f t="shared" si="21"/>
        <v>/</v>
      </c>
      <c r="AI80" s="42" t="str">
        <f t="shared" si="21"/>
        <v>/</v>
      </c>
      <c r="AJ80" s="42" t="str">
        <f t="shared" si="21"/>
        <v>/</v>
      </c>
    </row>
    <row r="81" spans="1:36" x14ac:dyDescent="0.25">
      <c r="A81" s="53"/>
      <c r="B81" s="1153"/>
      <c r="C81" s="1153" t="s">
        <v>129</v>
      </c>
      <c r="D81" s="1157"/>
      <c r="E81" s="504"/>
      <c r="F81" s="1154" t="s">
        <v>129</v>
      </c>
      <c r="G81" s="1154" t="s">
        <v>129</v>
      </c>
      <c r="H81" s="1186" t="str">
        <f t="shared" si="22"/>
        <v/>
      </c>
      <c r="I81" s="1153"/>
      <c r="J81" s="1187" t="str">
        <f t="shared" si="11"/>
        <v/>
      </c>
      <c r="K81" s="1836"/>
      <c r="L81" s="1837"/>
      <c r="M81" s="53"/>
      <c r="O81" s="42">
        <f t="shared" si="23"/>
        <v>0</v>
      </c>
      <c r="P81" s="42" t="s">
        <v>2374</v>
      </c>
      <c r="R81" s="42" t="b">
        <f t="shared" si="12"/>
        <v>0</v>
      </c>
      <c r="S81" s="42" t="b">
        <f t="shared" si="13"/>
        <v>0</v>
      </c>
      <c r="T81" s="42" t="b">
        <f t="shared" si="14"/>
        <v>0</v>
      </c>
      <c r="U81" s="42" t="b">
        <f t="shared" si="15"/>
        <v>0</v>
      </c>
      <c r="V81" s="42" t="b">
        <f t="shared" si="16"/>
        <v>0</v>
      </c>
      <c r="W81" s="42" t="b">
        <f t="shared" si="17"/>
        <v>0</v>
      </c>
      <c r="X81" s="42" t="b">
        <f t="shared" si="18"/>
        <v>0</v>
      </c>
      <c r="Y81" s="42" t="b">
        <f t="shared" si="19"/>
        <v>0</v>
      </c>
      <c r="Z81" s="42" t="b">
        <f t="shared" si="20"/>
        <v>0</v>
      </c>
      <c r="AA81" s="42" t="s">
        <v>129</v>
      </c>
      <c r="AB81" s="42" t="str">
        <f t="shared" si="24"/>
        <v>/</v>
      </c>
      <c r="AC81" s="42" t="str">
        <f t="shared" si="21"/>
        <v>/</v>
      </c>
      <c r="AD81" s="42" t="str">
        <f t="shared" si="21"/>
        <v>/</v>
      </c>
      <c r="AE81" s="42" t="str">
        <f t="shared" si="21"/>
        <v>/</v>
      </c>
      <c r="AF81" s="42" t="str">
        <f t="shared" si="21"/>
        <v>/</v>
      </c>
      <c r="AG81" s="42" t="str">
        <f t="shared" si="21"/>
        <v>/</v>
      </c>
      <c r="AH81" s="42" t="str">
        <f t="shared" si="21"/>
        <v>/</v>
      </c>
      <c r="AI81" s="42" t="str">
        <f t="shared" si="21"/>
        <v>/</v>
      </c>
      <c r="AJ81" s="42" t="str">
        <f t="shared" si="21"/>
        <v>/</v>
      </c>
    </row>
    <row r="82" spans="1:36" x14ac:dyDescent="0.25">
      <c r="A82" s="53"/>
      <c r="B82" s="1153"/>
      <c r="C82" s="1153" t="s">
        <v>129</v>
      </c>
      <c r="D82" s="1157"/>
      <c r="E82" s="504"/>
      <c r="F82" s="1154" t="s">
        <v>129</v>
      </c>
      <c r="G82" s="1154" t="s">
        <v>129</v>
      </c>
      <c r="H82" s="1186" t="str">
        <f t="shared" si="22"/>
        <v/>
      </c>
      <c r="I82" s="1153"/>
      <c r="J82" s="1187" t="str">
        <f t="shared" si="11"/>
        <v/>
      </c>
      <c r="K82" s="1836"/>
      <c r="L82" s="1837"/>
      <c r="M82" s="53"/>
      <c r="O82" s="42">
        <f t="shared" si="23"/>
        <v>0</v>
      </c>
      <c r="P82" s="42" t="s">
        <v>2375</v>
      </c>
      <c r="R82" s="42" t="b">
        <f t="shared" si="12"/>
        <v>0</v>
      </c>
      <c r="S82" s="42" t="b">
        <f t="shared" si="13"/>
        <v>0</v>
      </c>
      <c r="T82" s="42" t="b">
        <f t="shared" si="14"/>
        <v>0</v>
      </c>
      <c r="U82" s="42" t="b">
        <f t="shared" si="15"/>
        <v>0</v>
      </c>
      <c r="V82" s="42" t="b">
        <f t="shared" si="16"/>
        <v>0</v>
      </c>
      <c r="W82" s="42" t="b">
        <f t="shared" si="17"/>
        <v>0</v>
      </c>
      <c r="X82" s="42" t="b">
        <f t="shared" si="18"/>
        <v>0</v>
      </c>
      <c r="Y82" s="42" t="b">
        <f t="shared" si="19"/>
        <v>0</v>
      </c>
      <c r="Z82" s="42" t="b">
        <f t="shared" si="20"/>
        <v>0</v>
      </c>
      <c r="AA82" s="42" t="s">
        <v>129</v>
      </c>
      <c r="AB82" s="42" t="str">
        <f t="shared" si="24"/>
        <v>/</v>
      </c>
      <c r="AC82" s="42" t="str">
        <f t="shared" si="21"/>
        <v>/</v>
      </c>
      <c r="AD82" s="42" t="str">
        <f t="shared" si="21"/>
        <v>/</v>
      </c>
      <c r="AE82" s="42" t="str">
        <f t="shared" si="21"/>
        <v>/</v>
      </c>
      <c r="AF82" s="42" t="str">
        <f t="shared" si="21"/>
        <v>/</v>
      </c>
      <c r="AG82" s="42" t="str">
        <f t="shared" si="21"/>
        <v>/</v>
      </c>
      <c r="AH82" s="42" t="str">
        <f t="shared" si="21"/>
        <v>/</v>
      </c>
      <c r="AI82" s="42" t="str">
        <f t="shared" si="21"/>
        <v>/</v>
      </c>
      <c r="AJ82" s="42" t="str">
        <f t="shared" si="21"/>
        <v>/</v>
      </c>
    </row>
    <row r="83" spans="1:36" x14ac:dyDescent="0.25">
      <c r="A83" s="53"/>
      <c r="B83" s="1153"/>
      <c r="C83" s="1153" t="s">
        <v>129</v>
      </c>
      <c r="D83" s="1157"/>
      <c r="E83" s="504"/>
      <c r="F83" s="1154" t="s">
        <v>129</v>
      </c>
      <c r="G83" s="1154" t="s">
        <v>129</v>
      </c>
      <c r="H83" s="1186" t="str">
        <f t="shared" si="22"/>
        <v/>
      </c>
      <c r="I83" s="1153"/>
      <c r="J83" s="1187" t="str">
        <f t="shared" si="11"/>
        <v/>
      </c>
      <c r="K83" s="1836"/>
      <c r="L83" s="1837"/>
      <c r="M83" s="53"/>
      <c r="O83" s="42">
        <f t="shared" si="23"/>
        <v>0</v>
      </c>
      <c r="R83" s="42" t="b">
        <f t="shared" si="12"/>
        <v>0</v>
      </c>
      <c r="S83" s="42" t="b">
        <f t="shared" si="13"/>
        <v>0</v>
      </c>
      <c r="T83" s="42" t="b">
        <f t="shared" si="14"/>
        <v>0</v>
      </c>
      <c r="U83" s="42" t="b">
        <f t="shared" si="15"/>
        <v>0</v>
      </c>
      <c r="V83" s="42" t="b">
        <f t="shared" si="16"/>
        <v>0</v>
      </c>
      <c r="W83" s="42" t="b">
        <f t="shared" si="17"/>
        <v>0</v>
      </c>
      <c r="X83" s="42" t="b">
        <f t="shared" si="18"/>
        <v>0</v>
      </c>
      <c r="Y83" s="42" t="b">
        <f t="shared" si="19"/>
        <v>0</v>
      </c>
      <c r="Z83" s="42" t="b">
        <f t="shared" si="20"/>
        <v>0</v>
      </c>
      <c r="AA83" s="42" t="s">
        <v>129</v>
      </c>
      <c r="AB83" s="42" t="str">
        <f t="shared" si="24"/>
        <v>/</v>
      </c>
      <c r="AC83" s="42" t="str">
        <f t="shared" si="21"/>
        <v>/</v>
      </c>
      <c r="AD83" s="42" t="str">
        <f t="shared" si="21"/>
        <v>/</v>
      </c>
      <c r="AE83" s="42" t="str">
        <f t="shared" si="21"/>
        <v>/</v>
      </c>
      <c r="AF83" s="42" t="str">
        <f t="shared" si="21"/>
        <v>/</v>
      </c>
      <c r="AG83" s="42" t="str">
        <f t="shared" si="21"/>
        <v>/</v>
      </c>
      <c r="AH83" s="42" t="str">
        <f t="shared" si="21"/>
        <v>/</v>
      </c>
      <c r="AI83" s="42" t="str">
        <f t="shared" si="21"/>
        <v>/</v>
      </c>
      <c r="AJ83" s="42" t="str">
        <f t="shared" si="21"/>
        <v>/</v>
      </c>
    </row>
    <row r="84" spans="1:36" x14ac:dyDescent="0.25">
      <c r="A84" s="53"/>
      <c r="B84" s="1153"/>
      <c r="C84" s="1153" t="s">
        <v>129</v>
      </c>
      <c r="D84" s="1157"/>
      <c r="E84" s="504"/>
      <c r="F84" s="1154" t="s">
        <v>129</v>
      </c>
      <c r="G84" s="1154" t="s">
        <v>129</v>
      </c>
      <c r="H84" s="1186" t="str">
        <f t="shared" si="22"/>
        <v/>
      </c>
      <c r="I84" s="1153"/>
      <c r="J84" s="1187" t="str">
        <f t="shared" si="11"/>
        <v/>
      </c>
      <c r="K84" s="1836"/>
      <c r="L84" s="1837"/>
      <c r="M84" s="53"/>
      <c r="O84" s="42">
        <f t="shared" si="23"/>
        <v>0</v>
      </c>
      <c r="R84" s="42" t="b">
        <f t="shared" si="12"/>
        <v>0</v>
      </c>
      <c r="S84" s="42" t="b">
        <f t="shared" si="13"/>
        <v>0</v>
      </c>
      <c r="T84" s="42" t="b">
        <f t="shared" si="14"/>
        <v>0</v>
      </c>
      <c r="U84" s="42" t="b">
        <f t="shared" si="15"/>
        <v>0</v>
      </c>
      <c r="V84" s="42" t="b">
        <f t="shared" si="16"/>
        <v>0</v>
      </c>
      <c r="W84" s="42" t="b">
        <f t="shared" si="17"/>
        <v>0</v>
      </c>
      <c r="X84" s="42" t="b">
        <f t="shared" si="18"/>
        <v>0</v>
      </c>
      <c r="Y84" s="42" t="b">
        <f t="shared" si="19"/>
        <v>0</v>
      </c>
      <c r="Z84" s="42" t="b">
        <f t="shared" si="20"/>
        <v>0</v>
      </c>
      <c r="AA84" s="42" t="s">
        <v>129</v>
      </c>
      <c r="AB84" s="42" t="str">
        <f t="shared" si="24"/>
        <v>/</v>
      </c>
      <c r="AC84" s="42" t="str">
        <f t="shared" si="21"/>
        <v>/</v>
      </c>
      <c r="AD84" s="42" t="str">
        <f t="shared" si="21"/>
        <v>/</v>
      </c>
      <c r="AE84" s="42" t="str">
        <f t="shared" si="21"/>
        <v>/</v>
      </c>
      <c r="AF84" s="42" t="str">
        <f t="shared" si="21"/>
        <v>/</v>
      </c>
      <c r="AG84" s="42" t="str">
        <f t="shared" si="21"/>
        <v>/</v>
      </c>
      <c r="AH84" s="42" t="str">
        <f t="shared" si="21"/>
        <v>/</v>
      </c>
      <c r="AI84" s="42" t="str">
        <f t="shared" si="21"/>
        <v>/</v>
      </c>
      <c r="AJ84" s="42" t="str">
        <f t="shared" si="21"/>
        <v>/</v>
      </c>
    </row>
    <row r="85" spans="1:36" x14ac:dyDescent="0.25">
      <c r="A85" s="53"/>
      <c r="B85" s="1153"/>
      <c r="C85" s="1153" t="s">
        <v>129</v>
      </c>
      <c r="D85" s="1157"/>
      <c r="E85" s="504"/>
      <c r="F85" s="1154" t="s">
        <v>129</v>
      </c>
      <c r="G85" s="1154" t="s">
        <v>129</v>
      </c>
      <c r="H85" s="1186" t="str">
        <f t="shared" si="22"/>
        <v/>
      </c>
      <c r="I85" s="1153"/>
      <c r="J85" s="1187" t="str">
        <f t="shared" si="11"/>
        <v/>
      </c>
      <c r="K85" s="1836"/>
      <c r="L85" s="1837"/>
      <c r="M85" s="53"/>
      <c r="O85" s="42">
        <f t="shared" si="23"/>
        <v>0</v>
      </c>
      <c r="R85" s="42" t="b">
        <f t="shared" si="12"/>
        <v>0</v>
      </c>
      <c r="S85" s="42" t="b">
        <f t="shared" si="13"/>
        <v>0</v>
      </c>
      <c r="T85" s="42" t="b">
        <f t="shared" si="14"/>
        <v>0</v>
      </c>
      <c r="U85" s="42" t="b">
        <f t="shared" si="15"/>
        <v>0</v>
      </c>
      <c r="V85" s="42" t="b">
        <f t="shared" si="16"/>
        <v>0</v>
      </c>
      <c r="W85" s="42" t="b">
        <f t="shared" si="17"/>
        <v>0</v>
      </c>
      <c r="X85" s="42" t="b">
        <f t="shared" si="18"/>
        <v>0</v>
      </c>
      <c r="Y85" s="42" t="b">
        <f t="shared" si="19"/>
        <v>0</v>
      </c>
      <c r="Z85" s="42" t="b">
        <f t="shared" si="20"/>
        <v>0</v>
      </c>
      <c r="AA85" s="42" t="s">
        <v>129</v>
      </c>
      <c r="AB85" s="42" t="str">
        <f t="shared" si="24"/>
        <v>/</v>
      </c>
      <c r="AC85" s="42" t="str">
        <f t="shared" si="21"/>
        <v>/</v>
      </c>
      <c r="AD85" s="42" t="str">
        <f t="shared" si="21"/>
        <v>/</v>
      </c>
      <c r="AE85" s="42" t="str">
        <f t="shared" si="21"/>
        <v>/</v>
      </c>
      <c r="AF85" s="42" t="str">
        <f t="shared" si="21"/>
        <v>/</v>
      </c>
      <c r="AG85" s="42" t="str">
        <f t="shared" si="21"/>
        <v>/</v>
      </c>
      <c r="AH85" s="42" t="str">
        <f t="shared" si="21"/>
        <v>/</v>
      </c>
      <c r="AI85" s="42" t="str">
        <f t="shared" si="21"/>
        <v>/</v>
      </c>
      <c r="AJ85" s="42" t="str">
        <f t="shared" si="21"/>
        <v>/</v>
      </c>
    </row>
    <row r="86" spans="1:36" x14ac:dyDescent="0.25">
      <c r="A86" s="53"/>
      <c r="B86" s="1153"/>
      <c r="C86" s="1153" t="s">
        <v>129</v>
      </c>
      <c r="D86" s="1157"/>
      <c r="E86" s="504"/>
      <c r="F86" s="1154" t="s">
        <v>129</v>
      </c>
      <c r="G86" s="1154" t="s">
        <v>129</v>
      </c>
      <c r="H86" s="1186" t="str">
        <f t="shared" si="22"/>
        <v/>
      </c>
      <c r="I86" s="1153"/>
      <c r="J86" s="1187" t="str">
        <f t="shared" si="11"/>
        <v/>
      </c>
      <c r="K86" s="1836"/>
      <c r="L86" s="1837"/>
      <c r="M86" s="53"/>
      <c r="O86" s="42">
        <f t="shared" si="23"/>
        <v>0</v>
      </c>
      <c r="R86" s="42" t="b">
        <f t="shared" si="12"/>
        <v>0</v>
      </c>
      <c r="S86" s="42" t="b">
        <f t="shared" si="13"/>
        <v>0</v>
      </c>
      <c r="T86" s="42" t="b">
        <f t="shared" si="14"/>
        <v>0</v>
      </c>
      <c r="U86" s="42" t="b">
        <f t="shared" si="15"/>
        <v>0</v>
      </c>
      <c r="V86" s="42" t="b">
        <f t="shared" si="16"/>
        <v>0</v>
      </c>
      <c r="W86" s="42" t="b">
        <f t="shared" si="17"/>
        <v>0</v>
      </c>
      <c r="X86" s="42" t="b">
        <f t="shared" si="18"/>
        <v>0</v>
      </c>
      <c r="Y86" s="42" t="b">
        <f t="shared" si="19"/>
        <v>0</v>
      </c>
      <c r="Z86" s="42" t="b">
        <f t="shared" si="20"/>
        <v>0</v>
      </c>
      <c r="AA86" s="42" t="s">
        <v>129</v>
      </c>
      <c r="AB86" s="42" t="str">
        <f t="shared" si="24"/>
        <v>/</v>
      </c>
      <c r="AC86" s="42" t="str">
        <f t="shared" si="21"/>
        <v>/</v>
      </c>
      <c r="AD86" s="42" t="str">
        <f t="shared" si="21"/>
        <v>/</v>
      </c>
      <c r="AE86" s="42" t="str">
        <f t="shared" si="21"/>
        <v>/</v>
      </c>
      <c r="AF86" s="42" t="str">
        <f t="shared" si="21"/>
        <v>/</v>
      </c>
      <c r="AG86" s="42" t="str">
        <f t="shared" si="21"/>
        <v>/</v>
      </c>
      <c r="AH86" s="42" t="str">
        <f t="shared" si="21"/>
        <v>/</v>
      </c>
      <c r="AI86" s="42" t="str">
        <f t="shared" si="21"/>
        <v>/</v>
      </c>
      <c r="AJ86" s="42" t="str">
        <f t="shared" si="21"/>
        <v>/</v>
      </c>
    </row>
    <row r="87" spans="1:36" x14ac:dyDescent="0.25">
      <c r="A87" s="53"/>
      <c r="B87" s="1153"/>
      <c r="C87" s="1153" t="s">
        <v>129</v>
      </c>
      <c r="D87" s="1157"/>
      <c r="E87" s="504"/>
      <c r="F87" s="1154" t="s">
        <v>129</v>
      </c>
      <c r="G87" s="1154" t="s">
        <v>129</v>
      </c>
      <c r="H87" s="1186" t="str">
        <f t="shared" si="22"/>
        <v/>
      </c>
      <c r="I87" s="1153"/>
      <c r="J87" s="1187" t="str">
        <f t="shared" si="11"/>
        <v/>
      </c>
      <c r="K87" s="1836"/>
      <c r="L87" s="1837"/>
      <c r="M87" s="53"/>
      <c r="O87" s="42">
        <f t="shared" si="23"/>
        <v>0</v>
      </c>
      <c r="R87" s="42" t="b">
        <f t="shared" si="12"/>
        <v>0</v>
      </c>
      <c r="S87" s="42" t="b">
        <f t="shared" si="13"/>
        <v>0</v>
      </c>
      <c r="T87" s="42" t="b">
        <f t="shared" si="14"/>
        <v>0</v>
      </c>
      <c r="U87" s="42" t="b">
        <f t="shared" si="15"/>
        <v>0</v>
      </c>
      <c r="V87" s="42" t="b">
        <f t="shared" si="16"/>
        <v>0</v>
      </c>
      <c r="W87" s="42" t="b">
        <f t="shared" si="17"/>
        <v>0</v>
      </c>
      <c r="X87" s="42" t="b">
        <f t="shared" si="18"/>
        <v>0</v>
      </c>
      <c r="Y87" s="42" t="b">
        <f t="shared" si="19"/>
        <v>0</v>
      </c>
      <c r="Z87" s="42" t="b">
        <f t="shared" si="20"/>
        <v>0</v>
      </c>
      <c r="AA87" s="42" t="s">
        <v>129</v>
      </c>
      <c r="AB87" s="42" t="str">
        <f t="shared" si="24"/>
        <v>/</v>
      </c>
      <c r="AC87" s="42" t="str">
        <f t="shared" si="21"/>
        <v>/</v>
      </c>
      <c r="AD87" s="42" t="str">
        <f t="shared" si="21"/>
        <v>/</v>
      </c>
      <c r="AE87" s="42" t="str">
        <f t="shared" si="21"/>
        <v>/</v>
      </c>
      <c r="AF87" s="42" t="str">
        <f t="shared" si="21"/>
        <v>/</v>
      </c>
      <c r="AG87" s="42" t="str">
        <f t="shared" si="21"/>
        <v>/</v>
      </c>
      <c r="AH87" s="42" t="str">
        <f t="shared" si="21"/>
        <v>/</v>
      </c>
      <c r="AI87" s="42" t="str">
        <f t="shared" si="21"/>
        <v>/</v>
      </c>
      <c r="AJ87" s="42" t="str">
        <f t="shared" si="21"/>
        <v>/</v>
      </c>
    </row>
    <row r="88" spans="1:36" x14ac:dyDescent="0.25">
      <c r="A88" s="53"/>
      <c r="B88" s="1153"/>
      <c r="C88" s="1153" t="s">
        <v>129</v>
      </c>
      <c r="D88" s="1157"/>
      <c r="E88" s="504"/>
      <c r="F88" s="1154" t="s">
        <v>129</v>
      </c>
      <c r="G88" s="1154" t="s">
        <v>129</v>
      </c>
      <c r="H88" s="1186" t="str">
        <f t="shared" si="22"/>
        <v/>
      </c>
      <c r="I88" s="1153"/>
      <c r="J88" s="1187" t="str">
        <f t="shared" si="11"/>
        <v/>
      </c>
      <c r="K88" s="1836"/>
      <c r="L88" s="1837"/>
      <c r="M88" s="53"/>
      <c r="O88" s="42">
        <f t="shared" si="23"/>
        <v>0</v>
      </c>
      <c r="R88" s="42" t="b">
        <f t="shared" si="12"/>
        <v>0</v>
      </c>
      <c r="S88" s="42" t="b">
        <f t="shared" si="13"/>
        <v>0</v>
      </c>
      <c r="T88" s="42" t="b">
        <f t="shared" si="14"/>
        <v>0</v>
      </c>
      <c r="U88" s="42" t="b">
        <f t="shared" si="15"/>
        <v>0</v>
      </c>
      <c r="V88" s="42" t="b">
        <f t="shared" si="16"/>
        <v>0</v>
      </c>
      <c r="W88" s="42" t="b">
        <f t="shared" si="17"/>
        <v>0</v>
      </c>
      <c r="X88" s="42" t="b">
        <f t="shared" si="18"/>
        <v>0</v>
      </c>
      <c r="Y88" s="42" t="b">
        <f t="shared" si="19"/>
        <v>0</v>
      </c>
      <c r="Z88" s="42" t="b">
        <f t="shared" si="20"/>
        <v>0</v>
      </c>
      <c r="AA88" s="42" t="s">
        <v>129</v>
      </c>
      <c r="AB88" s="42" t="str">
        <f t="shared" si="24"/>
        <v>/</v>
      </c>
      <c r="AC88" s="42" t="str">
        <f t="shared" si="24"/>
        <v>/</v>
      </c>
      <c r="AD88" s="42" t="str">
        <f t="shared" si="24"/>
        <v>/</v>
      </c>
      <c r="AE88" s="42" t="str">
        <f t="shared" si="24"/>
        <v>/</v>
      </c>
      <c r="AF88" s="42" t="str">
        <f t="shared" si="24"/>
        <v>/</v>
      </c>
      <c r="AG88" s="42" t="str">
        <f t="shared" si="24"/>
        <v>/</v>
      </c>
      <c r="AH88" s="42" t="str">
        <f t="shared" si="24"/>
        <v>/</v>
      </c>
      <c r="AI88" s="42" t="str">
        <f t="shared" si="24"/>
        <v>/</v>
      </c>
      <c r="AJ88" s="42" t="str">
        <f t="shared" si="24"/>
        <v>/</v>
      </c>
    </row>
    <row r="89" spans="1:36" x14ac:dyDescent="0.25">
      <c r="A89" s="53"/>
      <c r="B89" s="1153"/>
      <c r="C89" s="1153" t="s">
        <v>129</v>
      </c>
      <c r="D89" s="1157"/>
      <c r="E89" s="504"/>
      <c r="F89" s="1154" t="s">
        <v>129</v>
      </c>
      <c r="G89" s="1154" t="s">
        <v>129</v>
      </c>
      <c r="H89" s="1186" t="str">
        <f t="shared" si="22"/>
        <v/>
      </c>
      <c r="I89" s="1153"/>
      <c r="J89" s="1187" t="str">
        <f t="shared" si="11"/>
        <v/>
      </c>
      <c r="K89" s="1836"/>
      <c r="L89" s="1837"/>
      <c r="M89" s="53"/>
      <c r="O89" s="42">
        <f t="shared" si="23"/>
        <v>0</v>
      </c>
      <c r="R89" s="42" t="b">
        <f t="shared" si="12"/>
        <v>0</v>
      </c>
      <c r="S89" s="42" t="b">
        <f t="shared" si="13"/>
        <v>0</v>
      </c>
      <c r="T89" s="42" t="b">
        <f t="shared" si="14"/>
        <v>0</v>
      </c>
      <c r="U89" s="42" t="b">
        <f t="shared" si="15"/>
        <v>0</v>
      </c>
      <c r="V89" s="42" t="b">
        <f t="shared" si="16"/>
        <v>0</v>
      </c>
      <c r="W89" s="42" t="b">
        <f t="shared" si="17"/>
        <v>0</v>
      </c>
      <c r="X89" s="42" t="b">
        <f t="shared" si="18"/>
        <v>0</v>
      </c>
      <c r="Y89" s="42" t="b">
        <f t="shared" si="19"/>
        <v>0</v>
      </c>
      <c r="Z89" s="42" t="b">
        <f t="shared" si="20"/>
        <v>0</v>
      </c>
      <c r="AA89" s="42" t="s">
        <v>129</v>
      </c>
      <c r="AB89" s="42" t="str">
        <f t="shared" si="24"/>
        <v>/</v>
      </c>
      <c r="AC89" s="42" t="str">
        <f t="shared" si="24"/>
        <v>/</v>
      </c>
      <c r="AD89" s="42" t="str">
        <f t="shared" si="24"/>
        <v>/</v>
      </c>
      <c r="AE89" s="42" t="str">
        <f t="shared" si="24"/>
        <v>/</v>
      </c>
      <c r="AF89" s="42" t="str">
        <f t="shared" si="24"/>
        <v>/</v>
      </c>
      <c r="AG89" s="42" t="str">
        <f t="shared" si="24"/>
        <v>/</v>
      </c>
      <c r="AH89" s="42" t="str">
        <f t="shared" si="24"/>
        <v>/</v>
      </c>
      <c r="AI89" s="42" t="str">
        <f t="shared" si="24"/>
        <v>/</v>
      </c>
      <c r="AJ89" s="42" t="str">
        <f t="shared" si="24"/>
        <v>/</v>
      </c>
    </row>
    <row r="90" spans="1:36" x14ac:dyDescent="0.25">
      <c r="A90" s="53"/>
      <c r="B90" s="1153"/>
      <c r="C90" s="1153" t="s">
        <v>129</v>
      </c>
      <c r="D90" s="1157"/>
      <c r="E90" s="504"/>
      <c r="F90" s="1154" t="s">
        <v>129</v>
      </c>
      <c r="G90" s="1154" t="s">
        <v>129</v>
      </c>
      <c r="H90" s="1186" t="str">
        <f t="shared" si="22"/>
        <v/>
      </c>
      <c r="I90" s="1153"/>
      <c r="J90" s="1187" t="str">
        <f t="shared" si="11"/>
        <v/>
      </c>
      <c r="K90" s="1836"/>
      <c r="L90" s="1837"/>
      <c r="M90" s="53"/>
      <c r="O90" s="42">
        <f t="shared" si="23"/>
        <v>0</v>
      </c>
      <c r="R90" s="42" t="b">
        <f t="shared" si="12"/>
        <v>0</v>
      </c>
      <c r="S90" s="42" t="b">
        <f t="shared" si="13"/>
        <v>0</v>
      </c>
      <c r="T90" s="42" t="b">
        <f t="shared" si="14"/>
        <v>0</v>
      </c>
      <c r="U90" s="42" t="b">
        <f t="shared" si="15"/>
        <v>0</v>
      </c>
      <c r="V90" s="42" t="b">
        <f t="shared" si="16"/>
        <v>0</v>
      </c>
      <c r="W90" s="42" t="b">
        <f t="shared" si="17"/>
        <v>0</v>
      </c>
      <c r="X90" s="42" t="b">
        <f t="shared" si="18"/>
        <v>0</v>
      </c>
      <c r="Y90" s="42" t="b">
        <f t="shared" si="19"/>
        <v>0</v>
      </c>
      <c r="Z90" s="42" t="b">
        <f t="shared" si="20"/>
        <v>0</v>
      </c>
      <c r="AA90" s="42" t="s">
        <v>129</v>
      </c>
      <c r="AB90" s="42" t="str">
        <f t="shared" si="24"/>
        <v>/</v>
      </c>
      <c r="AC90" s="42" t="str">
        <f t="shared" si="24"/>
        <v>/</v>
      </c>
      <c r="AD90" s="42" t="str">
        <f t="shared" si="24"/>
        <v>/</v>
      </c>
      <c r="AE90" s="42" t="str">
        <f t="shared" si="24"/>
        <v>/</v>
      </c>
      <c r="AF90" s="42" t="str">
        <f t="shared" si="24"/>
        <v>/</v>
      </c>
      <c r="AG90" s="42" t="str">
        <f t="shared" si="24"/>
        <v>/</v>
      </c>
      <c r="AH90" s="42" t="str">
        <f t="shared" si="24"/>
        <v>/</v>
      </c>
      <c r="AI90" s="42" t="str">
        <f t="shared" si="24"/>
        <v>/</v>
      </c>
      <c r="AJ90" s="42" t="str">
        <f t="shared" si="24"/>
        <v>/</v>
      </c>
    </row>
    <row r="91" spans="1:36" x14ac:dyDescent="0.25">
      <c r="A91" s="53"/>
      <c r="B91" s="1153"/>
      <c r="C91" s="1153" t="s">
        <v>129</v>
      </c>
      <c r="D91" s="1157"/>
      <c r="E91" s="504"/>
      <c r="F91" s="1154" t="s">
        <v>129</v>
      </c>
      <c r="G91" s="1154" t="s">
        <v>129</v>
      </c>
      <c r="H91" s="1186" t="str">
        <f t="shared" si="22"/>
        <v/>
      </c>
      <c r="I91" s="1153"/>
      <c r="J91" s="1187" t="str">
        <f t="shared" si="11"/>
        <v/>
      </c>
      <c r="K91" s="1836"/>
      <c r="L91" s="1837"/>
      <c r="M91" s="53"/>
      <c r="O91" s="42">
        <f t="shared" si="23"/>
        <v>0</v>
      </c>
      <c r="R91" s="42" t="b">
        <f t="shared" si="12"/>
        <v>0</v>
      </c>
      <c r="S91" s="42" t="b">
        <f t="shared" si="13"/>
        <v>0</v>
      </c>
      <c r="T91" s="42" t="b">
        <f t="shared" si="14"/>
        <v>0</v>
      </c>
      <c r="U91" s="42" t="b">
        <f t="shared" si="15"/>
        <v>0</v>
      </c>
      <c r="V91" s="42" t="b">
        <f t="shared" si="16"/>
        <v>0</v>
      </c>
      <c r="W91" s="42" t="b">
        <f t="shared" si="17"/>
        <v>0</v>
      </c>
      <c r="X91" s="42" t="b">
        <f t="shared" si="18"/>
        <v>0</v>
      </c>
      <c r="Y91" s="42" t="b">
        <f t="shared" si="19"/>
        <v>0</v>
      </c>
      <c r="Z91" s="42" t="b">
        <f t="shared" si="20"/>
        <v>0</v>
      </c>
      <c r="AA91" s="42" t="s">
        <v>129</v>
      </c>
      <c r="AB91" s="42" t="str">
        <f t="shared" si="24"/>
        <v>/</v>
      </c>
      <c r="AC91" s="42" t="str">
        <f t="shared" si="24"/>
        <v>/</v>
      </c>
      <c r="AD91" s="42" t="str">
        <f t="shared" si="24"/>
        <v>/</v>
      </c>
      <c r="AE91" s="42" t="str">
        <f t="shared" si="24"/>
        <v>/</v>
      </c>
      <c r="AF91" s="42" t="str">
        <f t="shared" si="24"/>
        <v>/</v>
      </c>
      <c r="AG91" s="42" t="str">
        <f t="shared" si="24"/>
        <v>/</v>
      </c>
      <c r="AH91" s="42" t="str">
        <f t="shared" si="24"/>
        <v>/</v>
      </c>
      <c r="AI91" s="42" t="str">
        <f t="shared" si="24"/>
        <v>/</v>
      </c>
      <c r="AJ91" s="42" t="str">
        <f t="shared" si="24"/>
        <v>/</v>
      </c>
    </row>
    <row r="92" spans="1:36" ht="18" customHeight="1" x14ac:dyDescent="0.25">
      <c r="A92" s="53"/>
      <c r="B92" s="207"/>
      <c r="C92" s="54"/>
      <c r="D92" s="54"/>
      <c r="E92" s="54"/>
      <c r="F92" s="54"/>
      <c r="G92" s="53"/>
      <c r="H92" s="53"/>
      <c r="I92" s="53"/>
      <c r="J92" s="53"/>
      <c r="K92" s="53"/>
      <c r="L92" s="53"/>
      <c r="M92" s="53"/>
    </row>
    <row r="93" spans="1:36" ht="18" customHeight="1" x14ac:dyDescent="0.25">
      <c r="A93" s="53"/>
      <c r="B93" s="1830" t="s">
        <v>2376</v>
      </c>
      <c r="C93" s="1830"/>
      <c r="D93" s="86" t="str">
        <f>IFERROR((SUM(O47:O61)+SUM(O72:O91))/K40,"")</f>
        <v/>
      </c>
      <c r="E93" s="54"/>
      <c r="F93" s="54"/>
      <c r="G93" s="53"/>
      <c r="H93" s="53"/>
      <c r="I93" s="53"/>
      <c r="J93" s="53"/>
      <c r="K93" s="53"/>
      <c r="L93" s="53"/>
      <c r="M93" s="53"/>
    </row>
    <row r="94" spans="1:36" ht="18" customHeight="1" x14ac:dyDescent="0.25">
      <c r="A94" s="53"/>
      <c r="B94" s="207"/>
      <c r="C94" s="54"/>
      <c r="D94" s="54"/>
      <c r="E94" s="54"/>
      <c r="F94" s="54"/>
      <c r="G94" s="53"/>
      <c r="H94" s="53"/>
      <c r="I94" s="53"/>
      <c r="J94" s="53"/>
      <c r="K94" s="53"/>
      <c r="L94" s="53"/>
      <c r="M94" s="53"/>
    </row>
    <row r="95" spans="1:36" ht="18" customHeight="1" x14ac:dyDescent="0.25">
      <c r="A95" s="1831" t="s">
        <v>200</v>
      </c>
      <c r="B95" s="1831"/>
      <c r="C95" s="1831"/>
      <c r="D95" s="1831"/>
      <c r="E95" s="1831"/>
      <c r="F95" s="1831"/>
      <c r="G95" s="1831"/>
      <c r="H95" s="1831"/>
      <c r="I95" s="1831"/>
      <c r="J95" s="1831"/>
      <c r="K95" s="1831"/>
      <c r="L95" s="1831"/>
      <c r="M95" s="1831"/>
    </row>
    <row r="96" spans="1:36" x14ac:dyDescent="0.25">
      <c r="A96" s="53"/>
      <c r="B96" s="54"/>
      <c r="C96" s="54"/>
      <c r="D96" s="54"/>
      <c r="E96" s="53"/>
      <c r="F96" s="53"/>
      <c r="G96" s="53"/>
      <c r="H96" s="53"/>
      <c r="I96" s="53"/>
      <c r="J96" s="53"/>
      <c r="K96" s="53"/>
      <c r="L96" s="53"/>
      <c r="M96" s="53"/>
    </row>
    <row r="97" spans="1:14" ht="21" customHeight="1" x14ac:dyDescent="0.25">
      <c r="A97" s="53"/>
      <c r="B97" s="1832" t="s">
        <v>2377</v>
      </c>
      <c r="C97" s="1833"/>
      <c r="D97" s="1833"/>
      <c r="E97" s="1833"/>
      <c r="F97" s="1833"/>
      <c r="G97" s="1833"/>
      <c r="H97" s="1156" t="s">
        <v>2101</v>
      </c>
      <c r="I97" s="1834" t="s">
        <v>2102</v>
      </c>
      <c r="J97" s="1835"/>
      <c r="K97" s="54"/>
      <c r="L97" s="53"/>
      <c r="M97" s="53"/>
    </row>
    <row r="98" spans="1:14" ht="24" customHeight="1" x14ac:dyDescent="0.25">
      <c r="A98" s="53"/>
      <c r="B98" s="1436" t="s">
        <v>1264</v>
      </c>
      <c r="C98" s="1437"/>
      <c r="D98" s="1437"/>
      <c r="E98" s="1437"/>
      <c r="F98" s="1437"/>
      <c r="G98" s="1437"/>
      <c r="H98" s="1153" t="s">
        <v>129</v>
      </c>
      <c r="I98" s="1737"/>
      <c r="J98" s="1738"/>
      <c r="K98" s="53"/>
      <c r="L98" s="53"/>
      <c r="M98" s="53"/>
      <c r="N98" s="42" t="str">
        <f>IF(OR($D$41="Yes",$D$39="Yes"),IF(AND(COUNTIF(H98,"Submitted")=1,$C$108&gt;0),"Yes","No"),"Yes")</f>
        <v>Yes</v>
      </c>
    </row>
    <row r="99" spans="1:14" ht="24" customHeight="1" x14ac:dyDescent="0.25">
      <c r="A99" s="53"/>
      <c r="B99" s="1436" t="s">
        <v>1971</v>
      </c>
      <c r="C99" s="1437"/>
      <c r="D99" s="1437"/>
      <c r="E99" s="1437"/>
      <c r="F99" s="1437"/>
      <c r="G99" s="1437"/>
      <c r="H99" s="1153" t="s">
        <v>129</v>
      </c>
      <c r="I99" s="1737"/>
      <c r="J99" s="1738"/>
      <c r="K99" s="53"/>
      <c r="L99" s="53"/>
      <c r="M99" s="53"/>
      <c r="N99" s="42" t="str">
        <f>IF(OR($D$41="Yes",$D$39="Yes"),IF(AND(COUNTIF(H99,"Submitted")=1,$C$108&gt;0),"Yes","No"),"Yes")</f>
        <v>Yes</v>
      </c>
    </row>
    <row r="100" spans="1:14" ht="15" customHeight="1" x14ac:dyDescent="0.25">
      <c r="A100" s="53"/>
      <c r="B100" s="308"/>
      <c r="C100" s="1194"/>
      <c r="D100" s="1194"/>
      <c r="E100" s="1194"/>
      <c r="F100" s="1194"/>
      <c r="G100" s="1194"/>
      <c r="H100" s="1158"/>
      <c r="I100" s="53"/>
      <c r="J100" s="53"/>
      <c r="K100" s="53"/>
      <c r="L100" s="53"/>
      <c r="M100" s="53"/>
    </row>
    <row r="101" spans="1:14" ht="21" customHeight="1" x14ac:dyDescent="0.25">
      <c r="A101" s="53"/>
      <c r="B101" s="1832" t="s">
        <v>2378</v>
      </c>
      <c r="C101" s="1833"/>
      <c r="D101" s="1833"/>
      <c r="E101" s="1833"/>
      <c r="F101" s="1833"/>
      <c r="G101" s="1833"/>
      <c r="H101" s="1156" t="s">
        <v>2101</v>
      </c>
      <c r="I101" s="1834" t="s">
        <v>2102</v>
      </c>
      <c r="J101" s="1835"/>
      <c r="K101" s="53"/>
      <c r="L101" s="53"/>
      <c r="M101" s="53"/>
    </row>
    <row r="102" spans="1:14" ht="24" customHeight="1" x14ac:dyDescent="0.25">
      <c r="A102" s="53"/>
      <c r="B102" s="1436" t="s">
        <v>2379</v>
      </c>
      <c r="C102" s="1437"/>
      <c r="D102" s="1437"/>
      <c r="E102" s="1437"/>
      <c r="F102" s="1437"/>
      <c r="G102" s="1437"/>
      <c r="H102" s="1153" t="s">
        <v>129</v>
      </c>
      <c r="I102" s="1737"/>
      <c r="J102" s="1738"/>
      <c r="K102" s="53"/>
      <c r="L102" s="53"/>
      <c r="M102" s="53"/>
      <c r="N102" s="42" t="str">
        <f>IF(OR($D$40="Yes",$D$41="Yes"),IF(AND(COUNTIF(H102,"Submitted")=1,$C$108&gt;0),"Yes","No"),"Yes")</f>
        <v>Yes</v>
      </c>
    </row>
    <row r="103" spans="1:14" ht="26.25" customHeight="1" x14ac:dyDescent="0.25">
      <c r="A103" s="53"/>
      <c r="B103" s="1436" t="s">
        <v>2380</v>
      </c>
      <c r="C103" s="1437"/>
      <c r="D103" s="1437"/>
      <c r="E103" s="1437"/>
      <c r="F103" s="1437"/>
      <c r="G103" s="1437"/>
      <c r="H103" s="1153" t="s">
        <v>129</v>
      </c>
      <c r="I103" s="1737"/>
      <c r="J103" s="1738"/>
      <c r="K103" s="53"/>
      <c r="L103" s="53"/>
      <c r="M103" s="53"/>
      <c r="N103" s="42" t="str">
        <f>IF(OR($D$40="Yes",$D$41="Yes"),IF(AND(COUNTIF(H103,"Submitted")=1,$C$108&gt;0),"Yes","No"),"Yes")</f>
        <v>Yes</v>
      </c>
    </row>
    <row r="104" spans="1:14" ht="30" customHeight="1" x14ac:dyDescent="0.25">
      <c r="A104" s="53"/>
      <c r="B104" s="1436" t="s">
        <v>2381</v>
      </c>
      <c r="C104" s="1437"/>
      <c r="D104" s="1437"/>
      <c r="E104" s="1437"/>
      <c r="F104" s="1437"/>
      <c r="G104" s="1437"/>
      <c r="H104" s="1153" t="s">
        <v>129</v>
      </c>
      <c r="I104" s="1737"/>
      <c r="J104" s="1738"/>
      <c r="K104" s="53"/>
      <c r="L104" s="53"/>
      <c r="M104" s="53"/>
      <c r="N104" s="42" t="str">
        <f>IF(OR($D$40="Yes",$D$41="Yes"),IF(D69="TCVN 5687:2010","Yes",IF(AND(COUNTIF(H104,"Submitted")=1,$C$108&gt;0),"Yes","No")),"Yes")</f>
        <v>Yes</v>
      </c>
    </row>
    <row r="105" spans="1:14" ht="18.75" customHeight="1" x14ac:dyDescent="0.25">
      <c r="A105" s="53"/>
      <c r="B105" s="54"/>
      <c r="C105" s="54"/>
      <c r="D105" s="54"/>
      <c r="E105" s="53"/>
      <c r="F105" s="53"/>
      <c r="G105" s="53"/>
      <c r="H105" s="53"/>
      <c r="I105" s="53"/>
      <c r="J105" s="53"/>
      <c r="K105" s="53"/>
      <c r="L105" s="53"/>
      <c r="M105" s="53"/>
    </row>
    <row r="106" spans="1:14" ht="18" customHeight="1" x14ac:dyDescent="0.25">
      <c r="A106" s="1831" t="s">
        <v>25</v>
      </c>
      <c r="B106" s="1831"/>
      <c r="C106" s="1831"/>
      <c r="D106" s="1831"/>
      <c r="E106" s="1831"/>
      <c r="F106" s="1831"/>
      <c r="G106" s="1831"/>
      <c r="H106" s="1831"/>
      <c r="I106" s="1831"/>
      <c r="J106" s="1831"/>
      <c r="K106" s="1831"/>
      <c r="L106" s="1831"/>
      <c r="M106" s="1831"/>
    </row>
    <row r="107" spans="1:14" x14ac:dyDescent="0.25">
      <c r="A107" s="53"/>
      <c r="B107" s="54"/>
      <c r="C107" s="54"/>
      <c r="D107" s="54"/>
      <c r="E107" s="54"/>
      <c r="F107" s="54"/>
      <c r="G107" s="53"/>
      <c r="H107" s="53"/>
      <c r="I107" s="53"/>
      <c r="J107" s="53"/>
      <c r="K107" s="53"/>
      <c r="L107" s="53"/>
      <c r="M107" s="53"/>
    </row>
    <row r="108" spans="1:14" ht="18" customHeight="1" x14ac:dyDescent="0.25">
      <c r="A108" s="53"/>
      <c r="B108" s="202" t="s">
        <v>56</v>
      </c>
      <c r="C108" s="203">
        <f>IF(D93="",0,IF(D93&gt;=0.9,2,0))</f>
        <v>0</v>
      </c>
      <c r="D108" s="54"/>
      <c r="E108" s="53"/>
      <c r="F108" s="53"/>
      <c r="G108" s="53"/>
      <c r="H108" s="53"/>
      <c r="I108" s="53"/>
      <c r="J108" s="53"/>
      <c r="K108" s="53"/>
      <c r="L108" s="53"/>
      <c r="M108" s="53"/>
    </row>
    <row r="109" spans="1:14" ht="18" customHeight="1" x14ac:dyDescent="0.25">
      <c r="A109" s="53"/>
      <c r="B109" s="204" t="s">
        <v>521</v>
      </c>
      <c r="C109" s="203" t="str">
        <f>IF(C108&gt;0,IF(COUNTIF(N98:N104,"Yes")=5,"Yes","No"),"No")</f>
        <v>No</v>
      </c>
      <c r="D109" s="54"/>
      <c r="E109" s="54"/>
      <c r="F109" s="54"/>
      <c r="G109" s="53"/>
      <c r="H109" s="53"/>
      <c r="I109" s="53"/>
      <c r="J109" s="53"/>
      <c r="K109" s="53"/>
      <c r="L109" s="53"/>
      <c r="M109" s="53"/>
    </row>
    <row r="110" spans="1:14" ht="18.75" customHeight="1" x14ac:dyDescent="0.25">
      <c r="A110" s="53"/>
      <c r="B110" s="54"/>
      <c r="C110" s="54"/>
      <c r="D110" s="54"/>
      <c r="E110" s="54"/>
      <c r="F110" s="54"/>
      <c r="G110" s="53"/>
      <c r="H110" s="53"/>
      <c r="I110" s="53"/>
      <c r="J110" s="53"/>
      <c r="K110" s="53"/>
      <c r="L110" s="53"/>
      <c r="M110" s="53"/>
    </row>
    <row r="111" spans="1:14" ht="15" hidden="1" customHeight="1" x14ac:dyDescent="0.25"/>
    <row r="112" spans="1:14"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sheetData>
  <sheetProtection algorithmName="SHA-512" hashValue="7oiry9SYZ0UBGIsu748PAHD/eF/qL6W0ALKRkAEFoauHqdd4OaVnR74uQ6rbGXHHltzB3LnR6D7/FaWEfexQUw==" saltValue="RdJrFMs2UghoqT6rWa1X6Q==" spinCount="100000" sheet="1" objects="1" scenarios="1"/>
  <mergeCells count="103">
    <mergeCell ref="B22:L22"/>
    <mergeCell ref="B26:K26"/>
    <mergeCell ref="A32:M32"/>
    <mergeCell ref="B36:I36"/>
    <mergeCell ref="B38:C38"/>
    <mergeCell ref="D38:E38"/>
    <mergeCell ref="F38:G38"/>
    <mergeCell ref="A1:M1"/>
    <mergeCell ref="A5:M7"/>
    <mergeCell ref="B11:E11"/>
    <mergeCell ref="B12:E12"/>
    <mergeCell ref="A9:M9"/>
    <mergeCell ref="A14:M14"/>
    <mergeCell ref="H2:K4"/>
    <mergeCell ref="B41:C41"/>
    <mergeCell ref="D41:E41"/>
    <mergeCell ref="F41:G41"/>
    <mergeCell ref="B44:I44"/>
    <mergeCell ref="E46:F46"/>
    <mergeCell ref="B39:C39"/>
    <mergeCell ref="D39:E39"/>
    <mergeCell ref="F39:G39"/>
    <mergeCell ref="H39:M39"/>
    <mergeCell ref="B40:C40"/>
    <mergeCell ref="D40:E40"/>
    <mergeCell ref="F40:G40"/>
    <mergeCell ref="I40:J40"/>
    <mergeCell ref="E49:F49"/>
    <mergeCell ref="K49:L49"/>
    <mergeCell ref="E50:F50"/>
    <mergeCell ref="K50:L50"/>
    <mergeCell ref="E51:F51"/>
    <mergeCell ref="K51:L51"/>
    <mergeCell ref="K46:L46"/>
    <mergeCell ref="E47:F47"/>
    <mergeCell ref="K47:L47"/>
    <mergeCell ref="E48:F48"/>
    <mergeCell ref="K48:L48"/>
    <mergeCell ref="E55:F55"/>
    <mergeCell ref="K55:L55"/>
    <mergeCell ref="E56:F56"/>
    <mergeCell ref="K56:L56"/>
    <mergeCell ref="E57:F57"/>
    <mergeCell ref="K57:L57"/>
    <mergeCell ref="E52:F52"/>
    <mergeCell ref="K52:L52"/>
    <mergeCell ref="E53:F53"/>
    <mergeCell ref="K53:L53"/>
    <mergeCell ref="E54:F54"/>
    <mergeCell ref="K54:L54"/>
    <mergeCell ref="E61:F61"/>
    <mergeCell ref="K61:L61"/>
    <mergeCell ref="B64:I64"/>
    <mergeCell ref="B65:J65"/>
    <mergeCell ref="B67:K67"/>
    <mergeCell ref="E58:F58"/>
    <mergeCell ref="K58:L58"/>
    <mergeCell ref="E59:F59"/>
    <mergeCell ref="K59:L59"/>
    <mergeCell ref="E60:F60"/>
    <mergeCell ref="K60:L60"/>
    <mergeCell ref="K72:L72"/>
    <mergeCell ref="K73:L73"/>
    <mergeCell ref="K74:L74"/>
    <mergeCell ref="K75:L75"/>
    <mergeCell ref="K76:L76"/>
    <mergeCell ref="B69:C69"/>
    <mergeCell ref="D69:E69"/>
    <mergeCell ref="F69:G69"/>
    <mergeCell ref="H69:I69"/>
    <mergeCell ref="K71:L71"/>
    <mergeCell ref="K83:L83"/>
    <mergeCell ref="K84:L84"/>
    <mergeCell ref="K85:L85"/>
    <mergeCell ref="K86:L86"/>
    <mergeCell ref="K77:L77"/>
    <mergeCell ref="K78:L78"/>
    <mergeCell ref="K79:L79"/>
    <mergeCell ref="K80:L80"/>
    <mergeCell ref="K81:L81"/>
    <mergeCell ref="K82:L82"/>
    <mergeCell ref="B103:G103"/>
    <mergeCell ref="I103:J103"/>
    <mergeCell ref="B104:G104"/>
    <mergeCell ref="I104:J104"/>
    <mergeCell ref="A106:M106"/>
    <mergeCell ref="B99:G99"/>
    <mergeCell ref="I99:J99"/>
    <mergeCell ref="B101:G101"/>
    <mergeCell ref="I101:J101"/>
    <mergeCell ref="B102:G102"/>
    <mergeCell ref="I102:J102"/>
    <mergeCell ref="B93:C93"/>
    <mergeCell ref="A95:M95"/>
    <mergeCell ref="B97:G97"/>
    <mergeCell ref="I97:J97"/>
    <mergeCell ref="B98:G98"/>
    <mergeCell ref="I98:J98"/>
    <mergeCell ref="K87:L87"/>
    <mergeCell ref="K88:L88"/>
    <mergeCell ref="K89:L89"/>
    <mergeCell ref="K90:L90"/>
    <mergeCell ref="K91:L91"/>
  </mergeCells>
  <conditionalFormatting sqref="E71:L91">
    <cfRule type="expression" dxfId="132" priority="1">
      <formula>$D$69="Select"</formula>
    </cfRule>
  </conditionalFormatting>
  <conditionalFormatting sqref="F71:L91">
    <cfRule type="expression" dxfId="131" priority="2">
      <formula>$D$69&lt;&gt;"TCVN 5687:2010"</formula>
    </cfRule>
  </conditionalFormatting>
  <dataValidations xWindow="560" yWindow="537" count="12">
    <dataValidation type="list" allowBlank="1" showInputMessage="1" showErrorMessage="1" sqref="D69">
      <formula1>"Select,TCVN 5687:2010, ASHRAE 62.1, Other"</formula1>
    </dataValidation>
    <dataValidation type="list" allowBlank="1" showInputMessage="1" showErrorMessage="1" prompt="As listed in Appendix F of TCVN 5687:2010" sqref="G72:G91">
      <formula1>$AA72:$AJ72</formula1>
    </dataValidation>
    <dataValidation type="list" allowBlank="1" showInputMessage="1" showErrorMessage="1" prompt="As listed in Appendix F of TCVN 5687:2010" sqref="F72:F91">
      <formula1>buildingtype</formula1>
    </dataValidation>
    <dataValidation allowBlank="1" showInputMessage="1" showErrorMessage="1" prompt="As listed in Appendix F of TCVN 5687:2010" sqref="F71:G71"/>
    <dataValidation type="list" allowBlank="1" showInputMessage="1" showErrorMessage="1" sqref="C72:C91">
      <formula1>"Select, Mechanical ventilation,Mixed-mode ventilation"</formula1>
    </dataValidation>
    <dataValidation type="list" allowBlank="1" showInputMessage="1" showErrorMessage="1" sqref="C47:C61">
      <formula1>"Select,Natural Ventilation, Mixed-mode ventilation"</formula1>
    </dataValidation>
    <dataValidation allowBlank="1" showInputMessage="1" showErrorMessage="1" prompt="(Only if fresh air supply not sufficient from openings to the outdoors)_x000a_Size of the window or door connecting this room with an adjoining room that receives sufficient fresh air supply" sqref="J46:J61"/>
    <dataValidation type="list" allowBlank="1" showInputMessage="1" showErrorMessage="1" sqref="D39:D41">
      <formula1>"Select,Yes,No"</formula1>
    </dataValidation>
    <dataValidation type="list" allowBlank="1" showInputMessage="1" showErrorMessage="1" sqref="H98:H99 H102:H104">
      <formula1>"Select,Submitted,Not submitted"</formula1>
    </dataValidation>
    <dataValidation allowBlank="1" showInputMessage="1" showErrorMessage="1" prompt="(Only if fresh air supply not sufficient from openings to the outdoors)_x000a_Window or door connecting the room with an adjoining room that receives sufficient fresh air supply" sqref="I46"/>
    <dataValidation type="list" allowBlank="1" showInputMessage="1" showErrorMessage="1" prompt="(Only if fresh air supply not sufficient from openings to the outdoors)_x000a_Window or door connecting the room with an adjoining room that receives sufficient fresh air supply" sqref="I47:I61">
      <formula1>"Select, Yes, No"</formula1>
    </dataValidation>
    <dataValidation allowBlank="1" showInputMessage="1" showErrorMessage="1" prompt="Example: _x000a_4 openings: 1 opening of 2 m2, 1 opening of 3m2 and 2 openings of 2.5 m2_x000a_Write information as follows:_x000a_&quot;1 OP1 - 2 m2_x000a_1 OP2 - 3 m2_x000a_2 OP3 - 2.5 m2&quot;" sqref="E46:E61"/>
  </dataValidations>
  <hyperlinks>
    <hyperlink ref="M3" location="'H&amp;C BPC'!D3" tooltip="BPC" display="BPC"/>
    <hyperlink ref="M2" location="'H-5 Acoustic Comfort'!E3" tooltip="H-5" display="H-5"/>
    <hyperlink ref="L3" location="'H-3 Low-VOC Emissions '!B3" tooltip="H-3" display="H-3"/>
    <hyperlink ref="L2" location="'H-2 Ventilation in wet areas'!E3" tooltip="H-2" display="H-2"/>
    <hyperlink ref="L4" location="'H-4 Daylighting'!E3" tooltip="H-4" display="H-4"/>
  </hyperlinks>
  <pageMargins left="0.7" right="0.7" top="0.75" bottom="0.75" header="0.3" footer="0.3"/>
  <pageSetup orientation="portrait" verticalDpi="0"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943634"/>
  </sheetPr>
  <dimension ref="A1:P80"/>
  <sheetViews>
    <sheetView showGridLines="0" showRowColHeaders="0" zoomScaleNormal="100" workbookViewId="0">
      <pane ySplit="8" topLeftCell="A9" activePane="bottomLeft" state="frozen"/>
      <selection pane="bottomLeft" activeCell="A9" sqref="A9:M9"/>
    </sheetView>
  </sheetViews>
  <sheetFormatPr defaultColWidth="0" defaultRowHeight="15" zeroHeight="1" x14ac:dyDescent="0.25"/>
  <cols>
    <col min="1" max="1" width="5.7109375" style="42" customWidth="1"/>
    <col min="2" max="2" width="18.7109375" style="42" customWidth="1"/>
    <col min="3" max="3" width="17" style="42" customWidth="1"/>
    <col min="4" max="6" width="18.42578125" style="42" customWidth="1"/>
    <col min="7" max="7" width="19.42578125" style="42" customWidth="1"/>
    <col min="8" max="8" width="19.85546875" style="42" customWidth="1"/>
    <col min="9" max="9" width="16.7109375" style="42" customWidth="1"/>
    <col min="10" max="10" width="13" style="42" customWidth="1"/>
    <col min="11" max="11" width="8.85546875" style="42" customWidth="1"/>
    <col min="12" max="13" width="8.7109375" style="42" customWidth="1"/>
    <col min="14" max="16384" width="9.140625" style="42" hidden="1"/>
  </cols>
  <sheetData>
    <row r="1" spans="1:13" ht="23.25" x14ac:dyDescent="0.25">
      <c r="A1" s="1207" t="s">
        <v>211</v>
      </c>
      <c r="B1" s="1207"/>
      <c r="C1" s="1207"/>
      <c r="D1" s="1207"/>
      <c r="E1" s="1207"/>
      <c r="F1" s="1207"/>
      <c r="G1" s="1207"/>
      <c r="H1" s="1207"/>
      <c r="I1" s="1207"/>
      <c r="J1" s="1207"/>
      <c r="K1" s="1207"/>
      <c r="L1" s="1207"/>
      <c r="M1" s="1207"/>
    </row>
    <row r="2" spans="1:13" ht="15" customHeight="1" x14ac:dyDescent="0.25">
      <c r="A2" s="53"/>
      <c r="B2" s="54"/>
      <c r="C2" s="54"/>
      <c r="D2" s="54"/>
      <c r="E2" s="54"/>
      <c r="F2" s="53"/>
      <c r="G2" s="53"/>
      <c r="H2" s="53"/>
      <c r="I2" s="1426" t="s">
        <v>844</v>
      </c>
      <c r="J2" s="1426"/>
      <c r="K2" s="1426"/>
      <c r="L2" s="822" t="s">
        <v>83</v>
      </c>
      <c r="M2" s="822" t="s">
        <v>806</v>
      </c>
    </row>
    <row r="3" spans="1:13" ht="15" customHeight="1" x14ac:dyDescent="0.25">
      <c r="A3" s="53"/>
      <c r="B3" s="54"/>
      <c r="C3" s="54"/>
      <c r="D3" s="54"/>
      <c r="E3" s="54"/>
      <c r="F3" s="53"/>
      <c r="G3" s="53"/>
      <c r="H3" s="53"/>
      <c r="I3" s="1426"/>
      <c r="J3" s="1426"/>
      <c r="K3" s="1426"/>
      <c r="L3" s="822" t="s">
        <v>90</v>
      </c>
      <c r="M3" s="822" t="s">
        <v>79</v>
      </c>
    </row>
    <row r="4" spans="1:13" ht="15" customHeight="1" x14ac:dyDescent="0.25">
      <c r="A4" s="53"/>
      <c r="B4" s="54"/>
      <c r="C4" s="54"/>
      <c r="D4" s="54"/>
      <c r="E4" s="54"/>
      <c r="F4" s="53"/>
      <c r="G4" s="53"/>
      <c r="H4" s="53"/>
      <c r="I4" s="1427"/>
      <c r="J4" s="1427"/>
      <c r="K4" s="1427"/>
      <c r="L4" s="822" t="s">
        <v>95</v>
      </c>
      <c r="M4" s="822"/>
    </row>
    <row r="5" spans="1:13" ht="18" customHeight="1" x14ac:dyDescent="0.25">
      <c r="A5" s="1417" t="s">
        <v>2418</v>
      </c>
      <c r="B5" s="1418"/>
      <c r="C5" s="1418"/>
      <c r="D5" s="1418"/>
      <c r="E5" s="1418"/>
      <c r="F5" s="1418"/>
      <c r="G5" s="1418"/>
      <c r="H5" s="1418"/>
      <c r="I5" s="1418"/>
      <c r="J5" s="1418"/>
      <c r="K5" s="1418"/>
      <c r="L5" s="1418"/>
      <c r="M5" s="1419"/>
    </row>
    <row r="6" spans="1:13" ht="18" customHeight="1" x14ac:dyDescent="0.25">
      <c r="A6" s="1420"/>
      <c r="B6" s="1421"/>
      <c r="C6" s="1421"/>
      <c r="D6" s="1421"/>
      <c r="E6" s="1421"/>
      <c r="F6" s="1421"/>
      <c r="G6" s="1421"/>
      <c r="H6" s="1421"/>
      <c r="I6" s="1421"/>
      <c r="J6" s="1421"/>
      <c r="K6" s="1421"/>
      <c r="L6" s="1421"/>
      <c r="M6" s="1422"/>
    </row>
    <row r="7" spans="1:13" ht="18" customHeight="1" x14ac:dyDescent="0.25">
      <c r="A7" s="1423"/>
      <c r="B7" s="1424"/>
      <c r="C7" s="1424"/>
      <c r="D7" s="1424"/>
      <c r="E7" s="1424"/>
      <c r="F7" s="1424"/>
      <c r="G7" s="1424"/>
      <c r="H7" s="1424"/>
      <c r="I7" s="1424"/>
      <c r="J7" s="1424"/>
      <c r="K7" s="1424"/>
      <c r="L7" s="1424"/>
      <c r="M7" s="1425"/>
    </row>
    <row r="8" spans="1:13" ht="12" customHeight="1" x14ac:dyDescent="0.25">
      <c r="A8" s="53"/>
      <c r="B8" s="54"/>
      <c r="C8" s="54"/>
      <c r="D8" s="54"/>
      <c r="E8" s="54"/>
      <c r="F8" s="53"/>
      <c r="G8" s="53"/>
      <c r="H8" s="53"/>
      <c r="I8" s="53"/>
      <c r="J8" s="53"/>
      <c r="K8" s="53"/>
      <c r="L8" s="53"/>
      <c r="M8" s="53"/>
    </row>
    <row r="9" spans="1:13" ht="18" customHeight="1" x14ac:dyDescent="0.25">
      <c r="A9" s="1831" t="s">
        <v>191</v>
      </c>
      <c r="B9" s="1831"/>
      <c r="C9" s="1831"/>
      <c r="D9" s="1831"/>
      <c r="E9" s="1831"/>
      <c r="F9" s="1831"/>
      <c r="G9" s="1831"/>
      <c r="H9" s="1831"/>
      <c r="I9" s="1831"/>
      <c r="J9" s="1831"/>
      <c r="K9" s="1831"/>
      <c r="L9" s="1831"/>
      <c r="M9" s="1831"/>
    </row>
    <row r="10" spans="1:13" x14ac:dyDescent="0.25">
      <c r="A10" s="53"/>
      <c r="B10" s="54"/>
      <c r="C10" s="54"/>
      <c r="D10" s="54"/>
      <c r="E10" s="54"/>
      <c r="F10" s="53"/>
      <c r="G10" s="53"/>
      <c r="H10" s="53"/>
      <c r="I10" s="53"/>
      <c r="J10" s="53"/>
      <c r="K10" s="53"/>
      <c r="L10" s="53"/>
      <c r="M10" s="53"/>
    </row>
    <row r="11" spans="1:13" ht="19.5" customHeight="1" x14ac:dyDescent="0.25">
      <c r="A11" s="53"/>
      <c r="B11" s="1867" t="s">
        <v>192</v>
      </c>
      <c r="C11" s="1868"/>
      <c r="D11" s="1868"/>
      <c r="E11" s="1868"/>
      <c r="F11" s="651" t="s">
        <v>157</v>
      </c>
      <c r="G11" s="651" t="s">
        <v>56</v>
      </c>
      <c r="H11" s="55" t="s">
        <v>521</v>
      </c>
      <c r="I11" s="53"/>
      <c r="J11" s="53"/>
      <c r="K11" s="53"/>
      <c r="L11" s="53"/>
      <c r="M11" s="53"/>
    </row>
    <row r="12" spans="1:13" ht="19.5" customHeight="1" x14ac:dyDescent="0.25">
      <c r="A12" s="53"/>
      <c r="B12" s="1864" t="s">
        <v>1082</v>
      </c>
      <c r="C12" s="1865"/>
      <c r="D12" s="1865"/>
      <c r="E12" s="1866"/>
      <c r="F12" s="59">
        <v>1</v>
      </c>
      <c r="G12" s="59">
        <f>C60</f>
        <v>0</v>
      </c>
      <c r="H12" s="59" t="str">
        <f>C61</f>
        <v>No</v>
      </c>
      <c r="I12" s="53"/>
      <c r="J12" s="53"/>
      <c r="K12" s="53"/>
      <c r="L12" s="53"/>
      <c r="M12" s="53"/>
    </row>
    <row r="13" spans="1:13" x14ac:dyDescent="0.25">
      <c r="A13" s="53"/>
      <c r="B13" s="54"/>
      <c r="C13" s="54"/>
      <c r="D13" s="54"/>
      <c r="E13" s="54"/>
      <c r="F13" s="53"/>
      <c r="G13" s="53"/>
      <c r="H13" s="53"/>
      <c r="I13" s="53"/>
      <c r="J13" s="53"/>
      <c r="K13" s="53"/>
      <c r="L13" s="53"/>
      <c r="M13" s="53"/>
    </row>
    <row r="14" spans="1:13" ht="18" customHeight="1" x14ac:dyDescent="0.25">
      <c r="A14" s="1831" t="s">
        <v>265</v>
      </c>
      <c r="B14" s="1831"/>
      <c r="C14" s="1831"/>
      <c r="D14" s="1831"/>
      <c r="E14" s="1831"/>
      <c r="F14" s="1831"/>
      <c r="G14" s="1831"/>
      <c r="H14" s="1831"/>
      <c r="I14" s="1831"/>
      <c r="J14" s="1831"/>
      <c r="K14" s="1831"/>
      <c r="L14" s="1831"/>
      <c r="M14" s="1831"/>
    </row>
    <row r="15" spans="1:13" ht="12" customHeight="1" x14ac:dyDescent="0.25">
      <c r="A15" s="53"/>
      <c r="B15" s="54"/>
      <c r="C15" s="54"/>
      <c r="D15" s="54"/>
      <c r="E15" s="54"/>
      <c r="F15" s="53"/>
      <c r="G15" s="53"/>
      <c r="H15" s="53"/>
      <c r="I15" s="53"/>
      <c r="J15" s="53"/>
      <c r="K15" s="53"/>
      <c r="L15" s="53"/>
      <c r="M15" s="53"/>
    </row>
    <row r="16" spans="1:13" x14ac:dyDescent="0.25">
      <c r="A16" s="53"/>
      <c r="B16" s="634" t="s">
        <v>212</v>
      </c>
      <c r="C16" s="54"/>
      <c r="D16" s="54"/>
      <c r="E16" s="54"/>
      <c r="F16" s="53"/>
      <c r="G16" s="53"/>
      <c r="H16" s="53"/>
      <c r="I16" s="53"/>
      <c r="J16" s="53"/>
      <c r="K16" s="53"/>
      <c r="L16" s="53"/>
      <c r="M16" s="53"/>
    </row>
    <row r="17" spans="1:13" x14ac:dyDescent="0.25">
      <c r="A17" s="53"/>
      <c r="B17" s="708" t="s">
        <v>1258</v>
      </c>
      <c r="C17" s="54"/>
      <c r="D17" s="54"/>
      <c r="E17" s="54"/>
      <c r="F17" s="53"/>
      <c r="G17" s="53"/>
      <c r="H17" s="53"/>
      <c r="I17" s="53"/>
      <c r="J17" s="53"/>
      <c r="K17" s="53"/>
      <c r="L17" s="53"/>
      <c r="M17" s="53"/>
    </row>
    <row r="18" spans="1:13" x14ac:dyDescent="0.25">
      <c r="A18" s="53"/>
      <c r="B18" s="708" t="s">
        <v>213</v>
      </c>
      <c r="C18" s="54"/>
      <c r="D18" s="54"/>
      <c r="E18" s="54"/>
      <c r="F18" s="53"/>
      <c r="G18" s="53"/>
      <c r="H18" s="53"/>
      <c r="I18" s="53"/>
      <c r="J18" s="53"/>
      <c r="K18" s="53"/>
      <c r="L18" s="53"/>
      <c r="M18" s="53"/>
    </row>
    <row r="19" spans="1:13" x14ac:dyDescent="0.25">
      <c r="A19" s="53"/>
      <c r="B19" s="708" t="s">
        <v>214</v>
      </c>
      <c r="C19" s="54"/>
      <c r="D19" s="54"/>
      <c r="E19" s="54"/>
      <c r="F19" s="53"/>
      <c r="G19" s="53"/>
      <c r="H19" s="53"/>
      <c r="I19" s="53"/>
      <c r="J19" s="53"/>
      <c r="K19" s="53"/>
      <c r="L19" s="53"/>
      <c r="M19" s="53"/>
    </row>
    <row r="20" spans="1:13" ht="12" customHeight="1" x14ac:dyDescent="0.25">
      <c r="A20" s="53"/>
      <c r="B20" s="54"/>
      <c r="C20" s="54"/>
      <c r="D20" s="54"/>
      <c r="E20" s="54"/>
      <c r="F20" s="53"/>
      <c r="G20" s="53"/>
      <c r="H20" s="53"/>
      <c r="I20" s="53"/>
      <c r="J20" s="53"/>
      <c r="K20" s="53"/>
      <c r="L20" s="53"/>
      <c r="M20" s="53"/>
    </row>
    <row r="21" spans="1:13" x14ac:dyDescent="0.25">
      <c r="A21" s="53"/>
      <c r="B21" s="653" t="s">
        <v>1259</v>
      </c>
      <c r="C21" s="638"/>
      <c r="D21" s="638"/>
      <c r="E21" s="638"/>
      <c r="F21" s="638"/>
      <c r="G21" s="638"/>
      <c r="H21" s="638"/>
      <c r="I21" s="639"/>
      <c r="J21" s="53"/>
      <c r="K21" s="53"/>
      <c r="L21" s="53"/>
      <c r="M21" s="53"/>
    </row>
    <row r="22" spans="1:13" ht="9" customHeight="1" x14ac:dyDescent="0.25">
      <c r="A22" s="53"/>
      <c r="B22" s="652"/>
      <c r="C22" s="635"/>
      <c r="D22" s="635"/>
      <c r="E22" s="635"/>
      <c r="F22" s="635"/>
      <c r="G22" s="635"/>
      <c r="H22" s="635"/>
      <c r="I22" s="641"/>
      <c r="J22" s="53"/>
      <c r="K22" s="53"/>
      <c r="L22" s="53"/>
      <c r="M22" s="53"/>
    </row>
    <row r="23" spans="1:13" ht="64.5" customHeight="1" x14ac:dyDescent="0.25">
      <c r="A23" s="53"/>
      <c r="B23" s="1869" t="s">
        <v>1004</v>
      </c>
      <c r="C23" s="1870"/>
      <c r="D23" s="1870"/>
      <c r="E23" s="1870"/>
      <c r="F23" s="1870"/>
      <c r="G23" s="1870"/>
      <c r="H23" s="1870"/>
      <c r="I23" s="1871"/>
      <c r="J23" s="53"/>
      <c r="K23" s="53"/>
      <c r="L23" s="53"/>
      <c r="M23" s="53"/>
    </row>
    <row r="24" spans="1:13" ht="9" customHeight="1" x14ac:dyDescent="0.25">
      <c r="A24" s="53"/>
      <c r="B24" s="654"/>
      <c r="C24" s="655"/>
      <c r="D24" s="655"/>
      <c r="E24" s="655"/>
      <c r="F24" s="655"/>
      <c r="G24" s="655"/>
      <c r="H24" s="655"/>
      <c r="I24" s="656"/>
      <c r="J24" s="53"/>
      <c r="K24" s="53"/>
      <c r="L24" s="53"/>
      <c r="M24" s="53"/>
    </row>
    <row r="25" spans="1:13" ht="66" customHeight="1" x14ac:dyDescent="0.25">
      <c r="A25" s="53"/>
      <c r="B25" s="1869" t="s">
        <v>1005</v>
      </c>
      <c r="C25" s="1870"/>
      <c r="D25" s="1870"/>
      <c r="E25" s="1870"/>
      <c r="F25" s="1870"/>
      <c r="G25" s="1870"/>
      <c r="H25" s="1870"/>
      <c r="I25" s="1871"/>
      <c r="J25" s="53"/>
      <c r="K25" s="53"/>
      <c r="L25" s="53"/>
      <c r="M25" s="53"/>
    </row>
    <row r="26" spans="1:13" ht="15" customHeight="1" x14ac:dyDescent="0.25">
      <c r="A26" s="53"/>
      <c r="B26" s="640" t="s">
        <v>1006</v>
      </c>
      <c r="C26" s="655"/>
      <c r="D26" s="655"/>
      <c r="E26" s="655"/>
      <c r="F26" s="655"/>
      <c r="G26" s="655"/>
      <c r="H26" s="655"/>
      <c r="I26" s="656"/>
      <c r="J26" s="53"/>
      <c r="K26" s="53"/>
      <c r="L26" s="53"/>
      <c r="M26" s="53"/>
    </row>
    <row r="27" spans="1:13" ht="9" customHeight="1" x14ac:dyDescent="0.25">
      <c r="A27" s="53"/>
      <c r="B27" s="640"/>
      <c r="C27" s="655"/>
      <c r="D27" s="655"/>
      <c r="E27" s="655"/>
      <c r="F27" s="655"/>
      <c r="G27" s="655"/>
      <c r="H27" s="655"/>
      <c r="I27" s="656"/>
      <c r="J27" s="53"/>
      <c r="K27" s="53"/>
      <c r="L27" s="53"/>
      <c r="M27" s="53"/>
    </row>
    <row r="28" spans="1:13" ht="24" customHeight="1" x14ac:dyDescent="0.25">
      <c r="A28" s="53"/>
      <c r="B28" s="1872" t="s">
        <v>1083</v>
      </c>
      <c r="C28" s="1873"/>
      <c r="D28" s="1873"/>
      <c r="E28" s="1873"/>
      <c r="F28" s="1873"/>
      <c r="G28" s="1873"/>
      <c r="H28" s="1873"/>
      <c r="I28" s="1874"/>
      <c r="J28" s="53"/>
      <c r="K28" s="53"/>
      <c r="L28" s="53"/>
      <c r="M28" s="53"/>
    </row>
    <row r="29" spans="1:13" ht="19.5" customHeight="1" x14ac:dyDescent="0.25">
      <c r="A29" s="53"/>
      <c r="B29" s="526"/>
      <c r="C29" s="516"/>
      <c r="D29" s="516"/>
      <c r="E29" s="516"/>
      <c r="F29" s="516"/>
      <c r="G29" s="516"/>
      <c r="H29" s="516"/>
      <c r="I29" s="516"/>
      <c r="J29" s="516"/>
      <c r="K29" s="53"/>
      <c r="L29" s="53"/>
      <c r="M29" s="53"/>
    </row>
    <row r="30" spans="1:13" ht="18" customHeight="1" x14ac:dyDescent="0.25">
      <c r="A30" s="1831" t="s">
        <v>26</v>
      </c>
      <c r="B30" s="1831"/>
      <c r="C30" s="1831"/>
      <c r="D30" s="1831"/>
      <c r="E30" s="1831"/>
      <c r="F30" s="1831"/>
      <c r="G30" s="1831"/>
      <c r="H30" s="1831"/>
      <c r="I30" s="1831"/>
      <c r="J30" s="1831"/>
      <c r="K30" s="1831"/>
      <c r="L30" s="1831"/>
      <c r="M30" s="1831"/>
    </row>
    <row r="31" spans="1:13" x14ac:dyDescent="0.25">
      <c r="A31" s="53"/>
      <c r="B31" s="54"/>
      <c r="C31" s="54"/>
      <c r="D31" s="54"/>
      <c r="E31" s="54"/>
      <c r="F31" s="53"/>
      <c r="G31" s="53"/>
      <c r="H31" s="53"/>
      <c r="I31" s="53"/>
      <c r="J31" s="53"/>
      <c r="K31" s="53"/>
      <c r="L31" s="53"/>
      <c r="M31" s="53"/>
    </row>
    <row r="32" spans="1:13" x14ac:dyDescent="0.25">
      <c r="A32" s="53"/>
      <c r="B32" s="657" t="s">
        <v>1261</v>
      </c>
      <c r="C32" s="71"/>
      <c r="D32" s="71"/>
      <c r="E32" s="54"/>
      <c r="F32" s="53"/>
      <c r="G32" s="53"/>
      <c r="H32" s="53"/>
      <c r="I32" s="53"/>
      <c r="J32" s="53"/>
      <c r="K32" s="53"/>
      <c r="L32" s="53"/>
      <c r="M32" s="53"/>
    </row>
    <row r="33" spans="1:16" x14ac:dyDescent="0.25">
      <c r="A33" s="53"/>
      <c r="B33" s="657" t="s">
        <v>1260</v>
      </c>
      <c r="C33" s="71"/>
      <c r="D33" s="71"/>
      <c r="E33" s="54"/>
      <c r="F33" s="53"/>
      <c r="G33" s="53"/>
      <c r="H33" s="53"/>
      <c r="I33" s="53"/>
      <c r="J33" s="53"/>
      <c r="K33" s="53"/>
      <c r="L33" s="53"/>
      <c r="M33" s="53"/>
    </row>
    <row r="34" spans="1:16" x14ac:dyDescent="0.25">
      <c r="A34" s="53"/>
      <c r="B34" s="658" t="s">
        <v>1262</v>
      </c>
      <c r="C34" s="521"/>
      <c r="D34" s="521"/>
      <c r="E34" s="54"/>
      <c r="F34" s="53"/>
      <c r="G34" s="53"/>
      <c r="H34" s="53"/>
      <c r="I34" s="53"/>
      <c r="J34" s="53"/>
      <c r="K34" s="53"/>
      <c r="L34" s="53"/>
      <c r="M34" s="53"/>
    </row>
    <row r="35" spans="1:16" x14ac:dyDescent="0.25">
      <c r="A35" s="53"/>
      <c r="B35" s="658" t="s">
        <v>1263</v>
      </c>
      <c r="C35" s="521"/>
      <c r="D35" s="521"/>
      <c r="E35" s="54"/>
      <c r="F35" s="53"/>
      <c r="G35" s="53"/>
      <c r="H35" s="53"/>
      <c r="I35" s="53"/>
      <c r="J35" s="53"/>
      <c r="K35" s="53"/>
      <c r="L35" s="53"/>
      <c r="M35" s="53"/>
    </row>
    <row r="36" spans="1:16" ht="12" customHeight="1" x14ac:dyDescent="0.25">
      <c r="A36" s="53"/>
      <c r="B36" s="54"/>
      <c r="C36" s="54"/>
      <c r="D36" s="54"/>
      <c r="E36" s="54"/>
      <c r="F36" s="53"/>
      <c r="G36" s="53"/>
      <c r="H36" s="53"/>
      <c r="I36" s="53"/>
      <c r="J36" s="53"/>
      <c r="K36" s="53"/>
      <c r="L36" s="53"/>
      <c r="M36" s="53"/>
    </row>
    <row r="37" spans="1:16" ht="38.25" x14ac:dyDescent="0.25">
      <c r="A37" s="53"/>
      <c r="B37" s="825" t="s">
        <v>215</v>
      </c>
      <c r="C37" s="826" t="s">
        <v>517</v>
      </c>
      <c r="D37" s="826" t="s">
        <v>1001</v>
      </c>
      <c r="E37" s="826" t="s">
        <v>1002</v>
      </c>
      <c r="F37" s="826" t="s">
        <v>1003</v>
      </c>
      <c r="G37" s="826" t="s">
        <v>216</v>
      </c>
      <c r="H37" s="826" t="s">
        <v>219</v>
      </c>
      <c r="I37" s="827" t="s">
        <v>221</v>
      </c>
      <c r="J37" s="826" t="s">
        <v>220</v>
      </c>
      <c r="K37" s="1861" t="s">
        <v>182</v>
      </c>
      <c r="L37" s="1862"/>
      <c r="M37" s="53"/>
      <c r="N37" s="53"/>
    </row>
    <row r="38" spans="1:16" ht="24" customHeight="1" x14ac:dyDescent="0.25">
      <c r="A38" s="53"/>
      <c r="B38" s="754"/>
      <c r="C38" s="754" t="s">
        <v>129</v>
      </c>
      <c r="D38" s="418"/>
      <c r="E38" s="418"/>
      <c r="F38" s="418"/>
      <c r="G38" s="824" t="str">
        <f>IF(AND(D38&lt;&gt;"",E38&lt;&gt;"",F38&lt;&gt;""),IF(C38="CLVE",D38*E38*F38*5/3.6,50),"")</f>
        <v/>
      </c>
      <c r="H38" s="754"/>
      <c r="I38" s="431" t="str">
        <f>IF(C38="CLVE","None",IF(H38="","",IF(H38&lt;(D38*E38*F38*5/3.6),"Vented range hood required","None")))</f>
        <v/>
      </c>
      <c r="J38" s="755" t="s">
        <v>129</v>
      </c>
      <c r="K38" s="1863" t="str">
        <f>IF(G38="","",IF(I38="None",IF(H38&gt;=G38,"Yes","No"),IF(AND(H38&gt;=G38,J38="Yes"),"Yes","No")))</f>
        <v/>
      </c>
      <c r="L38" s="1863"/>
      <c r="M38" s="53"/>
      <c r="N38" s="53"/>
    </row>
    <row r="39" spans="1:16" ht="24" customHeight="1" x14ac:dyDescent="0.25">
      <c r="A39" s="53"/>
      <c r="B39" s="184"/>
      <c r="C39" s="518" t="s">
        <v>129</v>
      </c>
      <c r="D39" s="186"/>
      <c r="E39" s="186"/>
      <c r="F39" s="186"/>
      <c r="G39" s="50" t="str">
        <f>IF(AND(D39&lt;&gt;"",E39&lt;&gt;"",F39&lt;&gt;""),IF(C39="CLVE",D39*E39*F39*5/3.6,50),"")</f>
        <v/>
      </c>
      <c r="H39" s="184"/>
      <c r="I39" s="327" t="str">
        <f>IF(C39="CLVE","None",IF(H39="","",IF(H39&lt;(D39*E39*F39*5/3.6),"Vented range hood required","None")))</f>
        <v/>
      </c>
      <c r="J39" s="753" t="s">
        <v>129</v>
      </c>
      <c r="K39" s="1863" t="str">
        <f>IF(G39="","",IF(I39="None",IF(H39&gt;=G39,"Yes","No"),IF(AND(H39&gt;=G39,J39="Yes"),"Yes","No")))</f>
        <v/>
      </c>
      <c r="L39" s="1863"/>
      <c r="M39" s="53"/>
      <c r="N39" s="53"/>
    </row>
    <row r="40" spans="1:16" ht="24" customHeight="1" x14ac:dyDescent="0.25">
      <c r="A40" s="53"/>
      <c r="B40" s="184"/>
      <c r="C40" s="518" t="s">
        <v>129</v>
      </c>
      <c r="D40" s="186"/>
      <c r="E40" s="186"/>
      <c r="F40" s="186"/>
      <c r="G40" s="50" t="str">
        <f>IF(AND(D40&lt;&gt;"",E40&lt;&gt;"",F40&lt;&gt;""),IF(C40="CLVE",D40*E40*F40*5/3.6,50),"")</f>
        <v/>
      </c>
      <c r="H40" s="184"/>
      <c r="I40" s="327" t="str">
        <f>IF(C40="CLVE","None",IF(H40="","",IF(H40&lt;(D40*E40*F40*5/3.6),"Vented range hood required","None")))</f>
        <v/>
      </c>
      <c r="J40" s="753" t="s">
        <v>129</v>
      </c>
      <c r="K40" s="1863" t="str">
        <f>IF(G40="","",IF(I40="None",IF(H40&gt;=G40,"Yes","No"),IF(AND(H40&gt;=G40,J40="Yes"),"Yes","No")))</f>
        <v/>
      </c>
      <c r="L40" s="1863"/>
      <c r="M40" s="53"/>
      <c r="N40" s="53"/>
    </row>
    <row r="41" spans="1:16" ht="19.5" customHeight="1" x14ac:dyDescent="0.25">
      <c r="A41" s="53"/>
      <c r="B41" s="54"/>
      <c r="C41" s="54"/>
      <c r="D41" s="54"/>
      <c r="E41" s="828"/>
      <c r="F41" s="828"/>
      <c r="G41" s="828"/>
      <c r="H41" s="828"/>
      <c r="I41" s="53"/>
      <c r="J41" s="53"/>
      <c r="K41" s="53"/>
      <c r="L41" s="53"/>
      <c r="M41" s="53"/>
    </row>
    <row r="42" spans="1:16" ht="18" customHeight="1" x14ac:dyDescent="0.25">
      <c r="A42" s="53"/>
      <c r="B42" s="54"/>
      <c r="C42" s="54"/>
      <c r="D42" s="54"/>
      <c r="E42" s="1875" t="s">
        <v>1007</v>
      </c>
      <c r="F42" s="1876"/>
      <c r="G42" s="1875" t="s">
        <v>1008</v>
      </c>
      <c r="H42" s="1876"/>
      <c r="I42" s="53"/>
      <c r="J42" s="53"/>
      <c r="K42" s="53"/>
      <c r="L42" s="53"/>
      <c r="M42" s="53"/>
    </row>
    <row r="43" spans="1:16" ht="27" x14ac:dyDescent="0.25">
      <c r="A43" s="53"/>
      <c r="B43" s="48" t="s">
        <v>217</v>
      </c>
      <c r="C43" s="48" t="s">
        <v>218</v>
      </c>
      <c r="D43" s="536" t="s">
        <v>517</v>
      </c>
      <c r="E43" s="829" t="s">
        <v>1545</v>
      </c>
      <c r="F43" s="830" t="s">
        <v>1546</v>
      </c>
      <c r="G43" s="829" t="s">
        <v>216</v>
      </c>
      <c r="H43" s="830" t="s">
        <v>219</v>
      </c>
      <c r="I43" s="542" t="s">
        <v>182</v>
      </c>
      <c r="J43" s="53"/>
      <c r="K43" s="53"/>
      <c r="L43" s="53"/>
      <c r="M43" s="53"/>
      <c r="N43" s="53"/>
      <c r="O43" s="53"/>
      <c r="P43" s="53"/>
    </row>
    <row r="44" spans="1:16" x14ac:dyDescent="0.25">
      <c r="A44" s="53"/>
      <c r="B44" s="184"/>
      <c r="C44" s="184" t="s">
        <v>129</v>
      </c>
      <c r="D44" s="518" t="s">
        <v>129</v>
      </c>
      <c r="E44" s="754"/>
      <c r="F44" s="754"/>
      <c r="G44" s="831" t="str">
        <f>IF(D44="operable window","",IF(AND(C44&lt;&gt;"",D44&lt;&gt;"Select",D44&lt;&gt;""),IF(D44="CLVE",10,25),""))</f>
        <v/>
      </c>
      <c r="H44" s="754"/>
      <c r="I44" s="327" t="str">
        <f>IF(OR(D44="",D44="Select"),"",IF(D44="operable window",IF(OR(E44="",F44=""),"",IF(AND(F44&gt;=0.04*E44,F44&gt;=0.15),"Yes","No")),IF(G44="","",IF(H44&gt;=G44,"Yes","No"))))</f>
        <v/>
      </c>
      <c r="J44" s="53"/>
      <c r="K44" s="53"/>
      <c r="L44" s="53"/>
      <c r="M44" s="53"/>
      <c r="N44" s="53"/>
      <c r="O44" s="53"/>
      <c r="P44" s="53"/>
    </row>
    <row r="45" spans="1:16" x14ac:dyDescent="0.25">
      <c r="A45" s="53"/>
      <c r="B45" s="184"/>
      <c r="C45" s="531" t="s">
        <v>129</v>
      </c>
      <c r="D45" s="518" t="s">
        <v>129</v>
      </c>
      <c r="E45" s="518"/>
      <c r="F45" s="518"/>
      <c r="G45" s="49" t="str">
        <f>IF(D45="operable window","",IF(AND(C45&lt;&gt;"",D45&lt;&gt;"Select",D45&lt;&gt;""),IF(D45="CLVE",10,25),""))</f>
        <v/>
      </c>
      <c r="H45" s="184"/>
      <c r="I45" s="327" t="str">
        <f t="shared" ref="I45:I48" si="0">IF(OR(D45="",D45="Select"),"",IF(D45="operable window",IF(OR(E45="",F45=""),"",IF(AND(F45&gt;=0.04*E45,F45&gt;=0.15),"Yes","No")),IF(G45="","",IF(H45&gt;=G45,"Yes","No"))))</f>
        <v/>
      </c>
      <c r="J45" s="53"/>
      <c r="K45" s="53"/>
      <c r="L45" s="53"/>
      <c r="M45" s="53"/>
      <c r="N45" s="53"/>
      <c r="O45" s="53"/>
      <c r="P45" s="53"/>
    </row>
    <row r="46" spans="1:16" x14ac:dyDescent="0.25">
      <c r="A46" s="53"/>
      <c r="B46" s="184"/>
      <c r="C46" s="531" t="s">
        <v>129</v>
      </c>
      <c r="D46" s="518" t="s">
        <v>129</v>
      </c>
      <c r="E46" s="518"/>
      <c r="F46" s="518"/>
      <c r="G46" s="49" t="str">
        <f>IF(D46="operable window","",IF(AND(C46&lt;&gt;"",D46&lt;&gt;"Select",D46&lt;&gt;""),IF(D46="CLVE",10,25),""))</f>
        <v/>
      </c>
      <c r="H46" s="184"/>
      <c r="I46" s="327" t="str">
        <f t="shared" si="0"/>
        <v/>
      </c>
      <c r="J46" s="53"/>
      <c r="K46" s="53"/>
      <c r="L46" s="53"/>
      <c r="M46" s="53"/>
      <c r="N46" s="53"/>
      <c r="O46" s="53"/>
      <c r="P46" s="53"/>
    </row>
    <row r="47" spans="1:16" x14ac:dyDescent="0.25">
      <c r="A47" s="53"/>
      <c r="B47" s="184"/>
      <c r="C47" s="531" t="s">
        <v>129</v>
      </c>
      <c r="D47" s="518" t="s">
        <v>129</v>
      </c>
      <c r="E47" s="518"/>
      <c r="F47" s="518"/>
      <c r="G47" s="49" t="str">
        <f>IF(D47="operable window","",IF(AND(C47&lt;&gt;"",D47&lt;&gt;"Select",D47&lt;&gt;""),IF(D47="CLVE",10,25),""))</f>
        <v/>
      </c>
      <c r="H47" s="184"/>
      <c r="I47" s="327" t="str">
        <f t="shared" si="0"/>
        <v/>
      </c>
      <c r="J47" s="53"/>
      <c r="K47" s="53"/>
      <c r="L47" s="53"/>
      <c r="M47" s="53"/>
      <c r="N47" s="53"/>
      <c r="O47" s="53"/>
      <c r="P47" s="53"/>
    </row>
    <row r="48" spans="1:16" x14ac:dyDescent="0.25">
      <c r="A48" s="53"/>
      <c r="B48" s="184"/>
      <c r="C48" s="531" t="s">
        <v>129</v>
      </c>
      <c r="D48" s="518" t="s">
        <v>129</v>
      </c>
      <c r="E48" s="518"/>
      <c r="F48" s="518"/>
      <c r="G48" s="49" t="str">
        <f>IF(D48="operable window","",IF(AND(C48&lt;&gt;"",D48&lt;&gt;"Select",D48&lt;&gt;""),IF(D48="CLVE",10,25),""))</f>
        <v/>
      </c>
      <c r="H48" s="184"/>
      <c r="I48" s="327" t="str">
        <f t="shared" si="0"/>
        <v/>
      </c>
      <c r="J48" s="53"/>
      <c r="K48" s="53"/>
      <c r="L48" s="53"/>
      <c r="M48" s="53"/>
      <c r="N48" s="53"/>
      <c r="O48" s="53"/>
      <c r="P48" s="53"/>
    </row>
    <row r="49" spans="1:13" ht="15.75" customHeight="1" x14ac:dyDescent="0.25">
      <c r="A49" s="53"/>
      <c r="B49" s="54"/>
      <c r="C49" s="54"/>
      <c r="D49" s="54"/>
      <c r="E49" s="54"/>
      <c r="G49" s="53"/>
      <c r="H49" s="53"/>
      <c r="I49" s="53"/>
      <c r="J49" s="53"/>
      <c r="K49" s="53"/>
      <c r="L49" s="53"/>
      <c r="M49" s="53"/>
    </row>
    <row r="50" spans="1:13" ht="18" customHeight="1" x14ac:dyDescent="0.25">
      <c r="A50" s="53"/>
      <c r="B50" s="1830" t="s">
        <v>222</v>
      </c>
      <c r="C50" s="1830"/>
      <c r="D50" s="86" t="str">
        <f>IF(COUNTBLANK(G38:G40)+COUNTBLANK(G44:G48)=8,"",IF(COUNTIF(K38:L40,"No")+COUNTIF(I44:I48,"No")=0,"Yes","No"))</f>
        <v/>
      </c>
      <c r="E50" s="53"/>
      <c r="F50" s="53"/>
      <c r="G50" s="53"/>
      <c r="H50" s="53"/>
      <c r="I50" s="53"/>
      <c r="J50" s="53"/>
      <c r="K50" s="53"/>
      <c r="L50" s="53"/>
      <c r="M50" s="53"/>
    </row>
    <row r="51" spans="1:13" ht="18" customHeight="1" x14ac:dyDescent="0.25">
      <c r="A51" s="53"/>
      <c r="B51" s="54"/>
      <c r="C51" s="54"/>
      <c r="D51" s="54"/>
      <c r="E51" s="53"/>
      <c r="F51" s="53"/>
      <c r="G51" s="53"/>
      <c r="H51" s="53"/>
      <c r="I51" s="53"/>
      <c r="J51" s="53"/>
      <c r="K51" s="53"/>
      <c r="L51" s="53"/>
      <c r="M51" s="53"/>
    </row>
    <row r="52" spans="1:13" ht="18" customHeight="1" x14ac:dyDescent="0.25">
      <c r="A52" s="1831" t="s">
        <v>200</v>
      </c>
      <c r="B52" s="1831"/>
      <c r="C52" s="1831"/>
      <c r="D52" s="1831"/>
      <c r="E52" s="1831"/>
      <c r="F52" s="1831"/>
      <c r="G52" s="1831"/>
      <c r="H52" s="1831"/>
      <c r="I52" s="1831"/>
      <c r="J52" s="1831"/>
      <c r="K52" s="1831"/>
      <c r="L52" s="1831"/>
      <c r="M52" s="1831"/>
    </row>
    <row r="53" spans="1:13" x14ac:dyDescent="0.25">
      <c r="A53" s="53"/>
      <c r="B53" s="54"/>
      <c r="C53" s="54"/>
      <c r="D53" s="54"/>
      <c r="E53" s="53"/>
      <c r="F53" s="53"/>
      <c r="G53" s="53"/>
      <c r="H53" s="53"/>
      <c r="I53" s="53"/>
      <c r="J53" s="53"/>
      <c r="K53" s="53"/>
      <c r="L53" s="53"/>
      <c r="M53" s="53"/>
    </row>
    <row r="54" spans="1:13" ht="18" customHeight="1" x14ac:dyDescent="0.25">
      <c r="A54" s="53"/>
      <c r="B54" s="1856" t="s">
        <v>2103</v>
      </c>
      <c r="C54" s="1857"/>
      <c r="D54" s="1857"/>
      <c r="E54" s="1857"/>
      <c r="F54" s="1857"/>
      <c r="G54" s="444" t="s">
        <v>2101</v>
      </c>
      <c r="H54" s="1834" t="s">
        <v>2102</v>
      </c>
      <c r="I54" s="1835"/>
      <c r="J54" s="53"/>
      <c r="K54" s="53"/>
      <c r="L54" s="53"/>
      <c r="M54" s="53"/>
    </row>
    <row r="55" spans="1:13" ht="25.5" customHeight="1" x14ac:dyDescent="0.25">
      <c r="A55" s="53"/>
      <c r="B55" s="1436" t="s">
        <v>1265</v>
      </c>
      <c r="C55" s="1437"/>
      <c r="D55" s="1437"/>
      <c r="E55" s="1437"/>
      <c r="F55" s="1437"/>
      <c r="G55" s="1078" t="s">
        <v>129</v>
      </c>
      <c r="H55" s="1730"/>
      <c r="I55" s="1729"/>
      <c r="J55" s="53"/>
      <c r="K55" s="53"/>
      <c r="L55" s="53"/>
      <c r="M55" s="53"/>
    </row>
    <row r="56" spans="1:13" ht="24" customHeight="1" x14ac:dyDescent="0.25">
      <c r="A56" s="53"/>
      <c r="B56" s="1436" t="s">
        <v>1266</v>
      </c>
      <c r="C56" s="1437"/>
      <c r="D56" s="1437"/>
      <c r="E56" s="1437"/>
      <c r="F56" s="1437"/>
      <c r="G56" s="1078" t="s">
        <v>129</v>
      </c>
      <c r="H56" s="1730"/>
      <c r="I56" s="1729"/>
      <c r="J56" s="53"/>
      <c r="K56" s="53"/>
      <c r="L56" s="53"/>
      <c r="M56" s="53"/>
    </row>
    <row r="57" spans="1:13" ht="19.5" customHeight="1" x14ac:dyDescent="0.25">
      <c r="A57" s="53"/>
      <c r="B57" s="54"/>
      <c r="C57" s="54"/>
      <c r="D57" s="54"/>
      <c r="E57" s="53"/>
      <c r="F57" s="53"/>
      <c r="G57" s="53"/>
      <c r="H57" s="53"/>
      <c r="I57" s="53"/>
      <c r="J57" s="53"/>
      <c r="K57" s="53"/>
      <c r="L57" s="53"/>
      <c r="M57" s="53"/>
    </row>
    <row r="58" spans="1:13" ht="18" customHeight="1" x14ac:dyDescent="0.25">
      <c r="A58" s="1831" t="s">
        <v>25</v>
      </c>
      <c r="B58" s="1831"/>
      <c r="C58" s="1831"/>
      <c r="D58" s="1831"/>
      <c r="E58" s="1831"/>
      <c r="F58" s="1831"/>
      <c r="G58" s="1831"/>
      <c r="H58" s="1831"/>
      <c r="I58" s="1831"/>
      <c r="J58" s="1831"/>
      <c r="K58" s="1831"/>
      <c r="L58" s="1831"/>
      <c r="M58" s="1831"/>
    </row>
    <row r="59" spans="1:13" x14ac:dyDescent="0.25">
      <c r="A59" s="53"/>
      <c r="B59" s="54"/>
      <c r="C59" s="54"/>
      <c r="D59" s="54"/>
      <c r="E59" s="54"/>
      <c r="F59" s="53"/>
      <c r="G59" s="53"/>
      <c r="H59" s="53"/>
      <c r="I59" s="53"/>
      <c r="J59" s="53"/>
      <c r="K59" s="53"/>
      <c r="L59" s="53"/>
      <c r="M59" s="53"/>
    </row>
    <row r="60" spans="1:13" ht="18" customHeight="1" x14ac:dyDescent="0.25">
      <c r="A60" s="53"/>
      <c r="B60" s="202" t="s">
        <v>56</v>
      </c>
      <c r="C60" s="203">
        <f>IF(D50="Yes",1,0)</f>
        <v>0</v>
      </c>
      <c r="D60" s="54"/>
      <c r="E60" s="53"/>
      <c r="F60" s="53"/>
      <c r="G60" s="53"/>
      <c r="H60" s="53"/>
      <c r="I60" s="53"/>
      <c r="J60" s="53"/>
      <c r="K60" s="53"/>
      <c r="L60" s="53"/>
      <c r="M60" s="53"/>
    </row>
    <row r="61" spans="1:13" ht="18" customHeight="1" x14ac:dyDescent="0.25">
      <c r="A61" s="53"/>
      <c r="B61" s="204" t="s">
        <v>521</v>
      </c>
      <c r="C61" s="203" t="str">
        <f>IF(AND(COUNTIF(H55:H56,"Submitted")=2,C60&gt;0),"Yes","No")</f>
        <v>No</v>
      </c>
      <c r="D61" s="54"/>
      <c r="E61" s="54"/>
      <c r="F61" s="53"/>
      <c r="G61" s="53"/>
      <c r="H61" s="53"/>
      <c r="I61" s="53"/>
      <c r="J61" s="53"/>
      <c r="K61" s="53"/>
      <c r="L61" s="53"/>
      <c r="M61" s="53"/>
    </row>
    <row r="62" spans="1:13" ht="21" customHeight="1" x14ac:dyDescent="0.25">
      <c r="A62" s="53"/>
      <c r="B62" s="54"/>
      <c r="C62" s="54"/>
      <c r="D62" s="54"/>
      <c r="E62" s="54"/>
      <c r="F62" s="53"/>
      <c r="G62" s="53"/>
      <c r="H62" s="53"/>
      <c r="I62" s="53"/>
      <c r="J62" s="53"/>
      <c r="K62" s="53"/>
      <c r="L62" s="53"/>
      <c r="M62" s="53"/>
    </row>
    <row r="63" spans="1:13" hidden="1" x14ac:dyDescent="0.25">
      <c r="J63" s="53"/>
      <c r="K63" s="53"/>
      <c r="L63" s="53"/>
      <c r="M63" s="53"/>
    </row>
    <row r="64" spans="1:13" hidden="1" x14ac:dyDescent="0.25">
      <c r="J64" s="53"/>
      <c r="K64" s="53"/>
      <c r="L64" s="53"/>
      <c r="M64" s="53"/>
    </row>
    <row r="65" spans="10:13" hidden="1" x14ac:dyDescent="0.25">
      <c r="J65" s="53"/>
      <c r="K65" s="53"/>
      <c r="L65" s="53"/>
      <c r="M65" s="53"/>
    </row>
    <row r="66" spans="10:13" hidden="1" x14ac:dyDescent="0.25"/>
    <row r="67" spans="10:13" hidden="1" x14ac:dyDescent="0.25"/>
    <row r="68" spans="10:13" hidden="1" x14ac:dyDescent="0.25"/>
    <row r="69" spans="10:13" hidden="1" x14ac:dyDescent="0.25"/>
    <row r="70" spans="10:13" hidden="1" x14ac:dyDescent="0.25"/>
    <row r="71" spans="10:13" hidden="1" x14ac:dyDescent="0.25"/>
    <row r="72" spans="10:13" hidden="1" x14ac:dyDescent="0.25"/>
    <row r="73" spans="10:13" hidden="1" x14ac:dyDescent="0.25"/>
    <row r="74" spans="10:13" hidden="1" x14ac:dyDescent="0.25"/>
    <row r="75" spans="10:13" hidden="1" x14ac:dyDescent="0.25"/>
    <row r="76" spans="10:13" hidden="1" x14ac:dyDescent="0.25"/>
    <row r="77" spans="10:13" hidden="1" x14ac:dyDescent="0.25"/>
    <row r="78" spans="10:13" hidden="1" x14ac:dyDescent="0.25"/>
    <row r="79" spans="10:13" hidden="1" x14ac:dyDescent="0.25"/>
    <row r="80" spans="10:13" hidden="1" x14ac:dyDescent="0.25"/>
  </sheetData>
  <sheetProtection algorithmName="SHA-512" hashValue="FvlJ12cc9v4q92LHIsWpqADI8063T/9xP5WzXLsY7oohCGgiePkyrzQlcta+y03jc2xkZAIOq/1pTalCKaAPfQ==" saltValue="9TmVj91i4zwN7Zc/dA6BiQ==" spinCount="100000" sheet="1" objects="1" scenarios="1"/>
  <mergeCells count="26">
    <mergeCell ref="E42:F42"/>
    <mergeCell ref="G42:H42"/>
    <mergeCell ref="K40:L40"/>
    <mergeCell ref="A58:M58"/>
    <mergeCell ref="A52:M52"/>
    <mergeCell ref="B55:F55"/>
    <mergeCell ref="B56:F56"/>
    <mergeCell ref="H55:I55"/>
    <mergeCell ref="H56:I56"/>
    <mergeCell ref="B50:C50"/>
    <mergeCell ref="B54:F54"/>
    <mergeCell ref="H54:I54"/>
    <mergeCell ref="A1:M1"/>
    <mergeCell ref="I2:K4"/>
    <mergeCell ref="K37:L37"/>
    <mergeCell ref="K38:L38"/>
    <mergeCell ref="K39:L39"/>
    <mergeCell ref="B12:E12"/>
    <mergeCell ref="B11:E11"/>
    <mergeCell ref="A5:M7"/>
    <mergeCell ref="B23:I23"/>
    <mergeCell ref="B25:I25"/>
    <mergeCell ref="B28:I28"/>
    <mergeCell ref="A9:M9"/>
    <mergeCell ref="A14:M14"/>
    <mergeCell ref="A30:M30"/>
  </mergeCells>
  <conditionalFormatting sqref="J38:J40">
    <cfRule type="expression" dxfId="130" priority="5">
      <formula>$I$38="None"</formula>
    </cfRule>
    <cfRule type="expression" dxfId="129" priority="6">
      <formula>$I$38=""</formula>
    </cfRule>
  </conditionalFormatting>
  <conditionalFormatting sqref="H54:I54">
    <cfRule type="expression" dxfId="128" priority="4">
      <formula>#REF!&lt;&gt;"Prescriptive Path"</formula>
    </cfRule>
  </conditionalFormatting>
  <conditionalFormatting sqref="G55:G56">
    <cfRule type="expression" dxfId="127" priority="3">
      <formula>#REF!&lt;&gt;"Prescriptive Path"</formula>
    </cfRule>
  </conditionalFormatting>
  <conditionalFormatting sqref="H55">
    <cfRule type="expression" dxfId="126" priority="2">
      <formula>#REF!&lt;&gt;"Prescriptive Path"</formula>
    </cfRule>
  </conditionalFormatting>
  <conditionalFormatting sqref="H56">
    <cfRule type="expression" dxfId="125" priority="1">
      <formula>#REF!&lt;&gt;"Prescriptive Path"</formula>
    </cfRule>
  </conditionalFormatting>
  <dataValidations count="8">
    <dataValidation type="list" allowBlank="1" showInputMessage="1" showErrorMessage="1" sqref="C38:C40">
      <formula1>"Select,ILVE, CLVE"</formula1>
    </dataValidation>
    <dataValidation type="list" allowBlank="1" showInputMessage="1" showErrorMessage="1" sqref="J38:J40">
      <formula1>"Select,Yes, No"</formula1>
    </dataValidation>
    <dataValidation type="list" allowBlank="1" showInputMessage="1" showErrorMessage="1" sqref="G55:G56">
      <formula1>"Select,Submitted,Not submitted"</formula1>
    </dataValidation>
    <dataValidation allowBlank="1" showInputMessage="1" showErrorMessage="1" prompt="For kitchens, with Intermittent Local Ventilation Exhaust, if the exhaust fan flow is less than 5 air changes per hour, a vented range hood is required." sqref="I37:I40"/>
    <dataValidation type="list" allowBlank="1" showInputMessage="1" showErrorMessage="1" sqref="D44:D48">
      <formula1>"Select,ILVE, CLVE, operable window"</formula1>
    </dataValidation>
    <dataValidation allowBlank="1" showInputMessage="1" showErrorMessage="1" prompt="Only fill if ventilation if from operable window" sqref="E42:F42"/>
    <dataValidation allowBlank="1" showInputMessage="1" showErrorMessage="1" prompt="Only if mechnical exhaust ventilation" sqref="G42:H42"/>
    <dataValidation type="list" allowBlank="1" showInputMessage="1" showErrorMessage="1" sqref="C44:C48">
      <formula1>"Select,bathroom, toilet"</formula1>
    </dataValidation>
  </dataValidations>
  <hyperlinks>
    <hyperlink ref="M3" location="'H&amp;C BPC'!D3" tooltip="BPC" display="BPC"/>
    <hyperlink ref="M2" location="'H-5 Acoustic Comfort'!E3" tooltip="H-5" display="H-5"/>
    <hyperlink ref="L2" location="'H-1 Fresh Air Supply'!B3" tooltip="H-1" display="H-1"/>
    <hyperlink ref="L4" location="'H-4 Daylighting'!E3" tooltip="H-4" display="H-4"/>
    <hyperlink ref="L3" location="'H-3 Low-VOC Emissions '!B3" tooltip="H-3" display="H-3"/>
  </hyperlinks>
  <pageMargins left="0.7" right="0.7" top="0.75" bottom="0.75" header="0.3" footer="0.3"/>
  <pageSetup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43634"/>
  </sheetPr>
  <dimension ref="A1:O223"/>
  <sheetViews>
    <sheetView workbookViewId="0">
      <pane ySplit="8" topLeftCell="A201" activePane="bottomLeft" state="frozen"/>
      <selection pane="bottomLeft" activeCell="E55" sqref="E55"/>
    </sheetView>
  </sheetViews>
  <sheetFormatPr defaultColWidth="0" defaultRowHeight="15" customHeight="1" zeroHeight="1" x14ac:dyDescent="0.25"/>
  <cols>
    <col min="1" max="1" width="4.42578125" style="42" customWidth="1"/>
    <col min="2" max="3" width="18.28515625" style="42" customWidth="1"/>
    <col min="4" max="6" width="18.42578125" style="42" customWidth="1"/>
    <col min="7" max="7" width="19.42578125" style="42" customWidth="1"/>
    <col min="8" max="8" width="22.140625" style="42" customWidth="1"/>
    <col min="9" max="9" width="12.7109375" style="42" customWidth="1"/>
    <col min="10" max="10" width="11.42578125" style="42" customWidth="1"/>
    <col min="11" max="12" width="7.7109375" style="42" customWidth="1"/>
    <col min="13" max="16384" width="9.140625" style="42" hidden="1"/>
  </cols>
  <sheetData>
    <row r="1" spans="1:13" ht="23.25" x14ac:dyDescent="0.25">
      <c r="A1" s="1207" t="s">
        <v>2234</v>
      </c>
      <c r="B1" s="1207"/>
      <c r="C1" s="1207"/>
      <c r="D1" s="1207"/>
      <c r="E1" s="1207"/>
      <c r="F1" s="1207"/>
      <c r="G1" s="1207"/>
      <c r="H1" s="1207"/>
      <c r="I1" s="1207"/>
      <c r="J1" s="1207"/>
      <c r="K1" s="1207"/>
      <c r="L1" s="1207"/>
    </row>
    <row r="2" spans="1:13" ht="15" customHeight="1" x14ac:dyDescent="0.25">
      <c r="A2" s="53"/>
      <c r="B2" s="54"/>
      <c r="C2" s="54"/>
      <c r="D2" s="54"/>
      <c r="E2" s="54"/>
      <c r="F2" s="53"/>
      <c r="G2" s="53"/>
      <c r="H2" s="1426" t="s">
        <v>2214</v>
      </c>
      <c r="I2" s="1426"/>
      <c r="J2" s="1426"/>
      <c r="K2" s="822" t="s">
        <v>83</v>
      </c>
      <c r="L2" s="822" t="s">
        <v>806</v>
      </c>
    </row>
    <row r="3" spans="1:13" ht="15" customHeight="1" x14ac:dyDescent="0.25">
      <c r="A3" s="53"/>
      <c r="B3" s="54"/>
      <c r="C3" s="54"/>
      <c r="D3" s="54"/>
      <c r="E3" s="54"/>
      <c r="F3" s="53"/>
      <c r="G3" s="53"/>
      <c r="H3" s="1426"/>
      <c r="I3" s="1426"/>
      <c r="J3" s="1426"/>
      <c r="K3" s="822" t="s">
        <v>85</v>
      </c>
      <c r="L3" s="822" t="s">
        <v>79</v>
      </c>
    </row>
    <row r="4" spans="1:13" ht="15" customHeight="1" x14ac:dyDescent="0.25">
      <c r="A4" s="53"/>
      <c r="B4" s="54"/>
      <c r="C4" s="54"/>
      <c r="D4" s="54"/>
      <c r="E4" s="54"/>
      <c r="F4" s="53"/>
      <c r="G4" s="53"/>
      <c r="H4" s="1427"/>
      <c r="I4" s="1427"/>
      <c r="J4" s="1427"/>
      <c r="K4" s="822" t="s">
        <v>95</v>
      </c>
      <c r="L4" s="823"/>
    </row>
    <row r="5" spans="1:13" ht="21" customHeight="1" x14ac:dyDescent="0.25">
      <c r="A5" s="1417" t="s">
        <v>2419</v>
      </c>
      <c r="B5" s="1418"/>
      <c r="C5" s="1418"/>
      <c r="D5" s="1418"/>
      <c r="E5" s="1418"/>
      <c r="F5" s="1418"/>
      <c r="G5" s="1418"/>
      <c r="H5" s="1418"/>
      <c r="I5" s="1418"/>
      <c r="J5" s="1418"/>
      <c r="K5" s="1418"/>
      <c r="L5" s="1418"/>
    </row>
    <row r="6" spans="1:13" ht="21" customHeight="1" x14ac:dyDescent="0.25">
      <c r="A6" s="1420"/>
      <c r="B6" s="1421"/>
      <c r="C6" s="1421"/>
      <c r="D6" s="1421"/>
      <c r="E6" s="1421"/>
      <c r="F6" s="1421"/>
      <c r="G6" s="1421"/>
      <c r="H6" s="1421"/>
      <c r="I6" s="1421"/>
      <c r="J6" s="1421"/>
      <c r="K6" s="1421"/>
      <c r="L6" s="1421"/>
    </row>
    <row r="7" spans="1:13" ht="21" customHeight="1" x14ac:dyDescent="0.25">
      <c r="A7" s="1423"/>
      <c r="B7" s="1424"/>
      <c r="C7" s="1424"/>
      <c r="D7" s="1424"/>
      <c r="E7" s="1424"/>
      <c r="F7" s="1424"/>
      <c r="G7" s="1424"/>
      <c r="H7" s="1424"/>
      <c r="I7" s="1424"/>
      <c r="J7" s="1424"/>
      <c r="K7" s="1424"/>
      <c r="L7" s="1424"/>
    </row>
    <row r="8" spans="1:13" ht="12" customHeight="1" x14ac:dyDescent="0.25">
      <c r="A8" s="53"/>
      <c r="B8" s="54"/>
      <c r="C8" s="54"/>
      <c r="D8" s="54"/>
      <c r="E8" s="54"/>
      <c r="F8" s="53"/>
      <c r="G8" s="53"/>
      <c r="H8" s="53"/>
      <c r="I8" s="53"/>
      <c r="J8" s="53"/>
      <c r="K8" s="53"/>
      <c r="L8" s="53"/>
    </row>
    <row r="9" spans="1:13" ht="18" customHeight="1" x14ac:dyDescent="0.25">
      <c r="A9" s="1831" t="s">
        <v>191</v>
      </c>
      <c r="B9" s="1831"/>
      <c r="C9" s="1831"/>
      <c r="D9" s="1831"/>
      <c r="E9" s="1831"/>
      <c r="F9" s="1831"/>
      <c r="G9" s="1831"/>
      <c r="H9" s="1831"/>
      <c r="I9" s="1831"/>
      <c r="J9" s="1831"/>
      <c r="K9" s="1831"/>
      <c r="L9" s="1831"/>
    </row>
    <row r="10" spans="1:13" x14ac:dyDescent="0.25">
      <c r="A10" s="53"/>
      <c r="B10" s="54"/>
      <c r="C10" s="54"/>
      <c r="D10" s="54"/>
      <c r="E10" s="54"/>
      <c r="F10" s="53"/>
      <c r="G10" s="53"/>
      <c r="H10" s="53"/>
      <c r="I10" s="53"/>
      <c r="J10" s="53"/>
      <c r="K10" s="53"/>
      <c r="L10" s="53"/>
    </row>
    <row r="11" spans="1:13" ht="21" customHeight="1" x14ac:dyDescent="0.25">
      <c r="A11" s="53"/>
      <c r="B11" s="1859" t="s">
        <v>192</v>
      </c>
      <c r="C11" s="1860"/>
      <c r="D11" s="1860"/>
      <c r="E11" s="1860"/>
      <c r="F11" s="651" t="s">
        <v>157</v>
      </c>
      <c r="G11" s="651" t="s">
        <v>56</v>
      </c>
      <c r="H11" s="55" t="s">
        <v>521</v>
      </c>
      <c r="I11" s="53"/>
      <c r="J11" s="53"/>
      <c r="K11" s="53"/>
      <c r="L11" s="53"/>
    </row>
    <row r="12" spans="1:13" ht="26.25" customHeight="1" x14ac:dyDescent="0.25">
      <c r="A12" s="53"/>
      <c r="B12" s="1622" t="s">
        <v>2215</v>
      </c>
      <c r="C12" s="1623" t="s">
        <v>133</v>
      </c>
      <c r="D12" s="1623" t="s">
        <v>133</v>
      </c>
      <c r="E12" s="1624" t="s">
        <v>133</v>
      </c>
      <c r="F12" s="1143">
        <v>1</v>
      </c>
      <c r="G12" s="1143">
        <f>C58</f>
        <v>0</v>
      </c>
      <c r="H12" s="1143" t="str">
        <f>C59</f>
        <v>No</v>
      </c>
      <c r="I12" s="53"/>
      <c r="J12" s="53"/>
      <c r="K12" s="53"/>
      <c r="L12" s="53"/>
      <c r="M12" s="42" t="str">
        <f>IF(G12&lt;&gt;0,IF(H12="No","No","Yes"),"Yes")</f>
        <v>Yes</v>
      </c>
    </row>
    <row r="13" spans="1:13" ht="26.25" customHeight="1" x14ac:dyDescent="0.25">
      <c r="A13" s="53"/>
      <c r="B13" s="1622" t="s">
        <v>2216</v>
      </c>
      <c r="C13" s="1623" t="s">
        <v>134</v>
      </c>
      <c r="D13" s="1623" t="s">
        <v>134</v>
      </c>
      <c r="E13" s="1624" t="s">
        <v>134</v>
      </c>
      <c r="F13" s="1143">
        <v>1</v>
      </c>
      <c r="G13" s="1143">
        <f>C93</f>
        <v>0</v>
      </c>
      <c r="H13" s="1143" t="str">
        <f>C94</f>
        <v>No</v>
      </c>
      <c r="I13" s="53"/>
      <c r="J13" s="53"/>
      <c r="K13" s="53"/>
      <c r="L13" s="53"/>
      <c r="M13" s="42" t="str">
        <f>IF(G13&lt;&gt;0,IF(H13="No","No","Yes"),"Yes")</f>
        <v>Yes</v>
      </c>
    </row>
    <row r="14" spans="1:13" ht="26.25" customHeight="1" x14ac:dyDescent="0.25">
      <c r="A14" s="53"/>
      <c r="B14" s="1622" t="s">
        <v>2217</v>
      </c>
      <c r="C14" s="1623" t="s">
        <v>135</v>
      </c>
      <c r="D14" s="1623" t="s">
        <v>135</v>
      </c>
      <c r="E14" s="1624" t="s">
        <v>135</v>
      </c>
      <c r="F14" s="1143">
        <v>1</v>
      </c>
      <c r="G14" s="1143">
        <f>C129</f>
        <v>0</v>
      </c>
      <c r="H14" s="1143" t="str">
        <f>C130</f>
        <v>No</v>
      </c>
      <c r="I14" s="53"/>
      <c r="J14" s="53"/>
      <c r="K14" s="53"/>
      <c r="L14" s="53"/>
      <c r="M14" s="42" t="str">
        <f>IF(G14&lt;&gt;0,IF(H14="No","No","Yes"),"Yes")</f>
        <v>Yes</v>
      </c>
    </row>
    <row r="15" spans="1:13" ht="26.25" customHeight="1" x14ac:dyDescent="0.25">
      <c r="A15" s="53"/>
      <c r="B15" s="1622" t="s">
        <v>2235</v>
      </c>
      <c r="C15" s="1623" t="s">
        <v>136</v>
      </c>
      <c r="D15" s="1623" t="s">
        <v>136</v>
      </c>
      <c r="E15" s="1624" t="s">
        <v>136</v>
      </c>
      <c r="F15" s="1143">
        <v>1</v>
      </c>
      <c r="G15" s="1143">
        <f>C171</f>
        <v>0</v>
      </c>
      <c r="H15" s="1143" t="str">
        <f>C172</f>
        <v>No</v>
      </c>
      <c r="I15" s="53"/>
      <c r="J15" s="53"/>
      <c r="K15" s="53"/>
      <c r="L15" s="53"/>
      <c r="M15" s="42" t="str">
        <f>IF(G15&lt;&gt;0,IF(H15="No","No","Yes"),"Yes")</f>
        <v>Yes</v>
      </c>
    </row>
    <row r="16" spans="1:13" ht="26.25" customHeight="1" x14ac:dyDescent="0.25">
      <c r="A16" s="53"/>
      <c r="B16" s="1622" t="s">
        <v>2209</v>
      </c>
      <c r="C16" s="1623" t="s">
        <v>136</v>
      </c>
      <c r="D16" s="1623" t="s">
        <v>136</v>
      </c>
      <c r="E16" s="1624" t="s">
        <v>136</v>
      </c>
      <c r="F16" s="1143">
        <v>1</v>
      </c>
      <c r="G16" s="1143">
        <f>C207</f>
        <v>0</v>
      </c>
      <c r="H16" s="1143" t="str">
        <f>C208</f>
        <v>No</v>
      </c>
      <c r="I16" s="53"/>
      <c r="J16" s="53"/>
      <c r="K16" s="53"/>
      <c r="L16" s="53"/>
      <c r="M16" s="42" t="str">
        <f>IF(G16&lt;&gt;0,IF(H16="No","No","Yes"),"Yes")</f>
        <v>Yes</v>
      </c>
    </row>
    <row r="17" spans="1:12" ht="21" customHeight="1" x14ac:dyDescent="0.25">
      <c r="A17" s="53"/>
      <c r="B17" s="1433" t="s">
        <v>82</v>
      </c>
      <c r="C17" s="1775"/>
      <c r="D17" s="1775"/>
      <c r="E17" s="1776"/>
      <c r="F17" s="702">
        <v>4</v>
      </c>
      <c r="G17" s="702">
        <f>MIN(4,G12+G13+G14+G15+G16)</f>
        <v>0</v>
      </c>
      <c r="H17" s="702" t="str">
        <f>IF(COUNTIF(H12:H16,"No")=5,"No",IF(COUNTIF(M12:M16,"Yes")=5,"Yes","No"))</f>
        <v>No</v>
      </c>
      <c r="I17" s="53"/>
      <c r="J17" s="53"/>
      <c r="K17" s="53"/>
      <c r="L17" s="53"/>
    </row>
    <row r="18" spans="1:12" x14ac:dyDescent="0.25">
      <c r="A18" s="53"/>
      <c r="B18" s="54"/>
      <c r="C18" s="54"/>
      <c r="D18" s="54"/>
      <c r="E18" s="54"/>
      <c r="F18" s="53"/>
      <c r="G18" s="53"/>
      <c r="H18" s="53"/>
      <c r="I18" s="53"/>
      <c r="J18" s="53"/>
      <c r="K18" s="53"/>
      <c r="L18" s="53"/>
    </row>
    <row r="19" spans="1:12" ht="18" customHeight="1" x14ac:dyDescent="0.25">
      <c r="A19" s="1831" t="s">
        <v>1717</v>
      </c>
      <c r="B19" s="1831"/>
      <c r="C19" s="1831"/>
      <c r="D19" s="1831"/>
      <c r="E19" s="1831"/>
      <c r="F19" s="1831"/>
      <c r="G19" s="1831"/>
      <c r="H19" s="1831"/>
      <c r="I19" s="1831"/>
      <c r="J19" s="1831"/>
      <c r="K19" s="1831"/>
      <c r="L19" s="1831"/>
    </row>
    <row r="20" spans="1:12" x14ac:dyDescent="0.25">
      <c r="A20" s="53"/>
      <c r="B20" s="54"/>
      <c r="C20" s="54"/>
      <c r="D20" s="54"/>
      <c r="E20" s="54"/>
      <c r="F20" s="53"/>
      <c r="G20" s="53"/>
      <c r="H20" s="53"/>
      <c r="I20" s="53"/>
      <c r="J20" s="53"/>
      <c r="K20" s="53"/>
      <c r="L20" s="53"/>
    </row>
    <row r="21" spans="1:12" x14ac:dyDescent="0.25">
      <c r="A21" s="53"/>
      <c r="B21" s="1878" t="s">
        <v>2213</v>
      </c>
      <c r="C21" s="1879"/>
      <c r="D21" s="1879"/>
      <c r="E21" s="1879"/>
      <c r="F21" s="1879"/>
      <c r="G21" s="1879"/>
      <c r="H21" s="1879"/>
      <c r="I21" s="1879"/>
      <c r="J21" s="1879"/>
      <c r="K21" s="1880"/>
      <c r="L21" s="53"/>
    </row>
    <row r="22" spans="1:12" x14ac:dyDescent="0.25">
      <c r="A22" s="53"/>
      <c r="B22" s="1881" t="s">
        <v>2210</v>
      </c>
      <c r="C22" s="1538"/>
      <c r="D22" s="1538"/>
      <c r="E22" s="1538"/>
      <c r="F22" s="1538"/>
      <c r="G22" s="1538"/>
      <c r="H22" s="1538"/>
      <c r="I22" s="1538"/>
      <c r="J22" s="1538"/>
      <c r="K22" s="1882"/>
      <c r="L22" s="53"/>
    </row>
    <row r="23" spans="1:12" ht="26.25" customHeight="1" x14ac:dyDescent="0.25">
      <c r="A23" s="53"/>
      <c r="B23" s="1883" t="s">
        <v>2211</v>
      </c>
      <c r="C23" s="1884"/>
      <c r="D23" s="1884"/>
      <c r="E23" s="1884"/>
      <c r="F23" s="1884"/>
      <c r="G23" s="1884"/>
      <c r="H23" s="1884"/>
      <c r="I23" s="1884"/>
      <c r="J23" s="1884"/>
      <c r="K23" s="1885"/>
      <c r="L23" s="53"/>
    </row>
    <row r="24" spans="1:12" x14ac:dyDescent="0.25">
      <c r="A24" s="53"/>
      <c r="B24" s="1886" t="s">
        <v>2212</v>
      </c>
      <c r="C24" s="1887"/>
      <c r="D24" s="1887"/>
      <c r="E24" s="1887"/>
      <c r="F24" s="1887"/>
      <c r="G24" s="1887"/>
      <c r="H24" s="1887"/>
      <c r="I24" s="1887"/>
      <c r="J24" s="1887"/>
      <c r="K24" s="1888"/>
      <c r="L24" s="53"/>
    </row>
    <row r="25" spans="1:12" ht="18" customHeight="1" x14ac:dyDescent="0.25">
      <c r="A25" s="53"/>
      <c r="B25" s="54"/>
      <c r="C25" s="54"/>
      <c r="D25" s="54"/>
      <c r="E25" s="54"/>
      <c r="F25" s="53"/>
      <c r="G25" s="53"/>
      <c r="H25" s="53"/>
      <c r="I25" s="53"/>
      <c r="J25" s="53"/>
      <c r="K25" s="53"/>
      <c r="L25" s="53"/>
    </row>
    <row r="26" spans="1:12" ht="18" customHeight="1" x14ac:dyDescent="0.25">
      <c r="A26" s="1831" t="s">
        <v>577</v>
      </c>
      <c r="B26" s="1831"/>
      <c r="C26" s="1831"/>
      <c r="D26" s="1831"/>
      <c r="E26" s="1831"/>
      <c r="F26" s="1831"/>
      <c r="G26" s="1831"/>
      <c r="H26" s="1831"/>
      <c r="I26" s="1831"/>
      <c r="J26" s="1831"/>
      <c r="K26" s="1831"/>
      <c r="L26" s="1831"/>
    </row>
    <row r="27" spans="1:12" x14ac:dyDescent="0.25">
      <c r="A27" s="53"/>
      <c r="B27" s="53"/>
      <c r="C27" s="53"/>
      <c r="D27" s="53"/>
      <c r="E27" s="54"/>
      <c r="F27" s="53"/>
      <c r="G27" s="53"/>
      <c r="H27" s="53"/>
      <c r="I27" s="53"/>
      <c r="J27" s="53"/>
      <c r="K27" s="53"/>
      <c r="L27" s="53"/>
    </row>
    <row r="28" spans="1:12" ht="16.5" customHeight="1" x14ac:dyDescent="0.25">
      <c r="A28" s="1877" t="s">
        <v>265</v>
      </c>
      <c r="B28" s="1877"/>
      <c r="C28" s="1877"/>
      <c r="D28" s="53"/>
      <c r="E28" s="54"/>
      <c r="F28" s="53"/>
      <c r="G28" s="53"/>
      <c r="H28" s="53"/>
      <c r="I28" s="53"/>
      <c r="J28" s="53"/>
      <c r="K28" s="53"/>
      <c r="L28" s="53"/>
    </row>
    <row r="29" spans="1:12" ht="12.75" customHeight="1" x14ac:dyDescent="0.25">
      <c r="A29" s="53"/>
      <c r="B29" s="53"/>
      <c r="C29" s="53"/>
      <c r="D29" s="53"/>
      <c r="E29" s="54"/>
      <c r="F29" s="53"/>
      <c r="G29" s="53"/>
      <c r="H29" s="53"/>
      <c r="I29" s="53"/>
      <c r="J29" s="53"/>
      <c r="K29" s="53"/>
      <c r="L29" s="53"/>
    </row>
    <row r="30" spans="1:12" x14ac:dyDescent="0.25">
      <c r="A30" s="53"/>
      <c r="B30" s="716" t="s">
        <v>2248</v>
      </c>
      <c r="C30" s="54"/>
      <c r="D30" s="54"/>
      <c r="E30" s="54"/>
      <c r="F30" s="53"/>
      <c r="G30" s="53"/>
      <c r="H30" s="53"/>
      <c r="I30" s="53"/>
      <c r="J30" s="53"/>
      <c r="K30" s="53"/>
      <c r="L30" s="53"/>
    </row>
    <row r="31" spans="1:12" ht="18" customHeight="1" x14ac:dyDescent="0.25">
      <c r="A31" s="53"/>
      <c r="B31" s="54"/>
      <c r="C31" s="54"/>
      <c r="D31" s="54"/>
      <c r="E31" s="54"/>
      <c r="F31" s="53"/>
      <c r="G31" s="53"/>
      <c r="H31" s="53"/>
      <c r="I31" s="53"/>
      <c r="J31" s="53"/>
      <c r="K31" s="53"/>
      <c r="L31" s="53"/>
    </row>
    <row r="32" spans="1:12" x14ac:dyDescent="0.25">
      <c r="A32" s="53"/>
      <c r="B32" s="634" t="s">
        <v>2218</v>
      </c>
      <c r="C32" s="54"/>
      <c r="D32" s="54"/>
      <c r="E32" s="54"/>
      <c r="F32" s="53"/>
      <c r="G32" s="53"/>
      <c r="H32" s="53"/>
      <c r="I32" s="53"/>
      <c r="J32" s="53"/>
      <c r="K32" s="53"/>
      <c r="L32" s="53"/>
    </row>
    <row r="33" spans="1:12" ht="18" customHeight="1" x14ac:dyDescent="0.25">
      <c r="A33" s="53"/>
      <c r="B33" s="54"/>
      <c r="C33" s="54"/>
      <c r="D33" s="54"/>
      <c r="E33" s="54"/>
      <c r="F33" s="53"/>
      <c r="G33" s="53"/>
      <c r="H33" s="53"/>
      <c r="I33" s="53"/>
      <c r="J33" s="53"/>
      <c r="K33" s="53"/>
      <c r="L33" s="53"/>
    </row>
    <row r="34" spans="1:12" ht="15" customHeight="1" x14ac:dyDescent="0.25">
      <c r="A34" s="53"/>
      <c r="B34" s="1411" t="s">
        <v>1547</v>
      </c>
      <c r="C34" s="1411"/>
      <c r="D34" s="1411"/>
      <c r="E34" s="1411"/>
      <c r="F34" s="1411"/>
      <c r="G34" s="1411"/>
      <c r="H34" s="53"/>
      <c r="I34" s="53"/>
      <c r="J34" s="53"/>
      <c r="K34" s="53"/>
      <c r="L34" s="53"/>
    </row>
    <row r="35" spans="1:12" ht="12" customHeight="1" x14ac:dyDescent="0.25">
      <c r="A35" s="53"/>
      <c r="B35" s="54"/>
      <c r="C35" s="54"/>
      <c r="D35" s="54"/>
      <c r="E35" s="54"/>
      <c r="F35" s="53"/>
      <c r="G35" s="53"/>
      <c r="H35" s="53"/>
      <c r="I35" s="53"/>
      <c r="J35" s="53"/>
      <c r="K35" s="53"/>
      <c r="L35" s="53"/>
    </row>
    <row r="36" spans="1:12" ht="26.25" customHeight="1" x14ac:dyDescent="0.25">
      <c r="A36" s="53"/>
      <c r="B36" s="443" t="s">
        <v>227</v>
      </c>
      <c r="C36" s="448" t="s">
        <v>226</v>
      </c>
      <c r="D36" s="448" t="s">
        <v>2219</v>
      </c>
      <c r="E36" s="448" t="s">
        <v>676</v>
      </c>
      <c r="F36" s="448" t="s">
        <v>228</v>
      </c>
      <c r="G36" s="1145" t="s">
        <v>182</v>
      </c>
      <c r="H36" s="1858" t="s">
        <v>33</v>
      </c>
      <c r="I36" s="1858"/>
      <c r="J36" s="1889"/>
      <c r="K36" s="53"/>
      <c r="L36" s="53"/>
    </row>
    <row r="37" spans="1:12" x14ac:dyDescent="0.25">
      <c r="A37" s="53"/>
      <c r="B37" s="1142"/>
      <c r="C37" s="1146"/>
      <c r="D37" s="1142" t="s">
        <v>129</v>
      </c>
      <c r="E37" s="1146"/>
      <c r="F37" s="1146"/>
      <c r="G37" s="327" t="str">
        <f>IF(OR(D37="",D37="Select"),"",IF(OR(D37="Inherently non-emitting product",D37="Certified product"),"Yes",IF(AND(E37&lt;&gt;"",F37&lt;&gt;""),IF(E37&lt;F37,"Yes","No"),"No")))</f>
        <v/>
      </c>
      <c r="H37" s="1470"/>
      <c r="I37" s="1470"/>
      <c r="J37" s="1470"/>
      <c r="K37" s="53"/>
      <c r="L37" s="53"/>
    </row>
    <row r="38" spans="1:12" x14ac:dyDescent="0.25">
      <c r="A38" s="53"/>
      <c r="B38" s="1142"/>
      <c r="C38" s="1146"/>
      <c r="D38" s="1142" t="s">
        <v>129</v>
      </c>
      <c r="E38" s="1146"/>
      <c r="F38" s="1146"/>
      <c r="G38" s="327" t="str">
        <f t="shared" ref="G38:G46" si="0">IF(OR(D38="",D38="Select"),"",IF(OR(D38="Inherently non-emitting product",D38="Certified product"),"Yes",IF(AND(E38&lt;&gt;"",F38&lt;&gt;""),IF(E38&lt;F38,"Yes","No"),"No")))</f>
        <v/>
      </c>
      <c r="H38" s="1470"/>
      <c r="I38" s="1470"/>
      <c r="J38" s="1470"/>
      <c r="K38" s="53"/>
      <c r="L38" s="53"/>
    </row>
    <row r="39" spans="1:12" x14ac:dyDescent="0.25">
      <c r="A39" s="53"/>
      <c r="B39" s="1142"/>
      <c r="C39" s="1146"/>
      <c r="D39" s="1142" t="s">
        <v>129</v>
      </c>
      <c r="E39" s="1146"/>
      <c r="F39" s="1146"/>
      <c r="G39" s="327" t="str">
        <f t="shared" si="0"/>
        <v/>
      </c>
      <c r="H39" s="1470"/>
      <c r="I39" s="1470"/>
      <c r="J39" s="1470"/>
      <c r="K39" s="53"/>
      <c r="L39" s="53"/>
    </row>
    <row r="40" spans="1:12" x14ac:dyDescent="0.25">
      <c r="A40" s="53"/>
      <c r="B40" s="1142"/>
      <c r="C40" s="1146"/>
      <c r="D40" s="1142" t="s">
        <v>129</v>
      </c>
      <c r="E40" s="1146"/>
      <c r="F40" s="1146"/>
      <c r="G40" s="327" t="str">
        <f t="shared" si="0"/>
        <v/>
      </c>
      <c r="H40" s="1470"/>
      <c r="I40" s="1470"/>
      <c r="J40" s="1470"/>
      <c r="K40" s="53"/>
      <c r="L40" s="53"/>
    </row>
    <row r="41" spans="1:12" x14ac:dyDescent="0.25">
      <c r="A41" s="53"/>
      <c r="B41" s="1142"/>
      <c r="C41" s="1146"/>
      <c r="D41" s="1142" t="s">
        <v>129</v>
      </c>
      <c r="E41" s="1146"/>
      <c r="F41" s="1146"/>
      <c r="G41" s="327" t="str">
        <f t="shared" si="0"/>
        <v/>
      </c>
      <c r="H41" s="1470"/>
      <c r="I41" s="1470"/>
      <c r="J41" s="1470"/>
      <c r="K41" s="53"/>
      <c r="L41" s="53"/>
    </row>
    <row r="42" spans="1:12" x14ac:dyDescent="0.25">
      <c r="A42" s="53"/>
      <c r="B42" s="1142"/>
      <c r="C42" s="1146"/>
      <c r="D42" s="1142" t="s">
        <v>129</v>
      </c>
      <c r="E42" s="1146"/>
      <c r="F42" s="1146"/>
      <c r="G42" s="327" t="str">
        <f t="shared" si="0"/>
        <v/>
      </c>
      <c r="H42" s="1470"/>
      <c r="I42" s="1470"/>
      <c r="J42" s="1470"/>
      <c r="K42" s="53"/>
      <c r="L42" s="53"/>
    </row>
    <row r="43" spans="1:12" x14ac:dyDescent="0.25">
      <c r="A43" s="53"/>
      <c r="B43" s="1142"/>
      <c r="C43" s="186"/>
      <c r="D43" s="1142" t="s">
        <v>129</v>
      </c>
      <c r="E43" s="186"/>
      <c r="F43" s="186"/>
      <c r="G43" s="327" t="str">
        <f t="shared" si="0"/>
        <v/>
      </c>
      <c r="H43" s="1470"/>
      <c r="I43" s="1470"/>
      <c r="J43" s="1470"/>
      <c r="K43" s="53"/>
      <c r="L43" s="53"/>
    </row>
    <row r="44" spans="1:12" x14ac:dyDescent="0.25">
      <c r="A44" s="53"/>
      <c r="B44" s="1142"/>
      <c r="C44" s="186"/>
      <c r="D44" s="1142" t="s">
        <v>129</v>
      </c>
      <c r="E44" s="186"/>
      <c r="F44" s="186"/>
      <c r="G44" s="327" t="str">
        <f t="shared" si="0"/>
        <v/>
      </c>
      <c r="H44" s="1470"/>
      <c r="I44" s="1470"/>
      <c r="J44" s="1470"/>
      <c r="K44" s="53"/>
      <c r="L44" s="53"/>
    </row>
    <row r="45" spans="1:12" x14ac:dyDescent="0.25">
      <c r="A45" s="53"/>
      <c r="B45" s="1142"/>
      <c r="C45" s="186"/>
      <c r="D45" s="1142" t="s">
        <v>129</v>
      </c>
      <c r="E45" s="186"/>
      <c r="F45" s="186"/>
      <c r="G45" s="327" t="str">
        <f t="shared" si="0"/>
        <v/>
      </c>
      <c r="H45" s="1470"/>
      <c r="I45" s="1470"/>
      <c r="J45" s="1470"/>
      <c r="K45" s="53"/>
      <c r="L45" s="53"/>
    </row>
    <row r="46" spans="1:12" x14ac:dyDescent="0.25">
      <c r="A46" s="53"/>
      <c r="B46" s="1142"/>
      <c r="C46" s="186"/>
      <c r="D46" s="1142" t="s">
        <v>129</v>
      </c>
      <c r="E46" s="186"/>
      <c r="F46" s="186"/>
      <c r="G46" s="327" t="str">
        <f t="shared" si="0"/>
        <v/>
      </c>
      <c r="H46" s="1470"/>
      <c r="I46" s="1470"/>
      <c r="J46" s="1470"/>
      <c r="K46" s="53"/>
      <c r="L46" s="53"/>
    </row>
    <row r="47" spans="1:12" x14ac:dyDescent="0.25">
      <c r="A47" s="53"/>
      <c r="B47" s="54"/>
      <c r="C47" s="54"/>
      <c r="D47" s="54"/>
      <c r="E47" s="54"/>
      <c r="F47" s="53"/>
      <c r="G47" s="53"/>
      <c r="H47" s="53"/>
      <c r="I47" s="53"/>
      <c r="J47" s="53"/>
      <c r="K47" s="53"/>
      <c r="L47" s="53"/>
    </row>
    <row r="48" spans="1:12" ht="18" customHeight="1" x14ac:dyDescent="0.25">
      <c r="A48" s="53"/>
      <c r="B48" s="1830" t="s">
        <v>229</v>
      </c>
      <c r="C48" s="1830"/>
      <c r="D48" s="86" t="str">
        <f>IF(COUNTBLANK(G37:G46)=10,"",IF(COUNTIF(G37:G46,"No")=0,"Yes","No"))</f>
        <v/>
      </c>
      <c r="E48" s="53"/>
      <c r="F48" s="53"/>
      <c r="G48" s="53"/>
      <c r="H48" s="53"/>
      <c r="I48" s="53"/>
      <c r="J48" s="53"/>
      <c r="K48" s="53"/>
      <c r="L48" s="53"/>
    </row>
    <row r="49" spans="1:13" ht="19.5" customHeight="1" x14ac:dyDescent="0.25">
      <c r="A49" s="53"/>
      <c r="B49" s="54"/>
      <c r="C49" s="54"/>
      <c r="D49" s="54"/>
      <c r="E49" s="53"/>
      <c r="F49" s="53"/>
      <c r="G49" s="53"/>
      <c r="H49" s="53"/>
      <c r="I49" s="53"/>
      <c r="J49" s="53"/>
      <c r="K49" s="53"/>
      <c r="L49" s="53"/>
    </row>
    <row r="50" spans="1:13" ht="16.5" customHeight="1" x14ac:dyDescent="0.25">
      <c r="A50" s="1877" t="s">
        <v>200</v>
      </c>
      <c r="B50" s="1877"/>
      <c r="C50" s="1877"/>
      <c r="D50" s="54"/>
      <c r="E50" s="54"/>
      <c r="F50" s="54"/>
      <c r="G50" s="54"/>
      <c r="H50" s="54"/>
      <c r="I50" s="54"/>
      <c r="J50" s="54"/>
      <c r="K50" s="54"/>
      <c r="L50" s="54"/>
    </row>
    <row r="51" spans="1:13" x14ac:dyDescent="0.25">
      <c r="A51" s="53"/>
      <c r="B51" s="54"/>
      <c r="C51" s="54"/>
      <c r="D51" s="54"/>
      <c r="E51" s="53"/>
      <c r="F51" s="53"/>
      <c r="G51" s="53"/>
      <c r="H51" s="53"/>
      <c r="I51" s="53"/>
      <c r="J51" s="53"/>
      <c r="K51" s="53"/>
      <c r="L51" s="53"/>
    </row>
    <row r="52" spans="1:13" ht="21" customHeight="1" x14ac:dyDescent="0.25">
      <c r="A52" s="53"/>
      <c r="B52" s="1856" t="s">
        <v>204</v>
      </c>
      <c r="C52" s="1857"/>
      <c r="D52" s="1857"/>
      <c r="E52" s="1857"/>
      <c r="F52" s="1857"/>
      <c r="G52" s="1145" t="s">
        <v>2101</v>
      </c>
      <c r="H52" s="1834" t="s">
        <v>2102</v>
      </c>
      <c r="I52" s="1834"/>
      <c r="J52" s="53"/>
      <c r="K52" s="53"/>
      <c r="L52" s="53"/>
    </row>
    <row r="53" spans="1:13" ht="30" customHeight="1" x14ac:dyDescent="0.25">
      <c r="A53" s="53"/>
      <c r="B53" s="1436" t="s">
        <v>2241</v>
      </c>
      <c r="C53" s="1437"/>
      <c r="D53" s="1437"/>
      <c r="E53" s="1437"/>
      <c r="F53" s="1437"/>
      <c r="G53" s="1142" t="s">
        <v>129</v>
      </c>
      <c r="H53" s="1737"/>
      <c r="I53" s="1738"/>
      <c r="J53" s="53"/>
      <c r="K53" s="53"/>
      <c r="L53" s="53"/>
      <c r="M53" s="42" t="str">
        <f>IF(OR(B53="/",B53="No evidence required at this submission stage"),"Yes",IF(G53="Submitted","Yes","No"))</f>
        <v>No</v>
      </c>
    </row>
    <row r="54" spans="1:13" ht="30" customHeight="1" x14ac:dyDescent="0.25">
      <c r="A54" s="53"/>
      <c r="B54" s="1436" t="s">
        <v>2242</v>
      </c>
      <c r="C54" s="1437"/>
      <c r="D54" s="1437"/>
      <c r="E54" s="1437"/>
      <c r="F54" s="1437"/>
      <c r="G54" s="1142" t="s">
        <v>129</v>
      </c>
      <c r="H54" s="1737"/>
      <c r="I54" s="1738"/>
      <c r="J54" s="53"/>
      <c r="K54" s="53"/>
      <c r="L54" s="53"/>
      <c r="M54" s="42" t="str">
        <f>IF(OR(B54="/",B54="No evidence required at this submission stage"),"Yes",IF(G54="Submitted","Yes","No"))</f>
        <v>No</v>
      </c>
    </row>
    <row r="55" spans="1:13" ht="16.5" customHeight="1" x14ac:dyDescent="0.25">
      <c r="A55" s="53"/>
      <c r="B55" s="54"/>
      <c r="C55" s="54"/>
      <c r="D55" s="54"/>
      <c r="E55" s="53"/>
      <c r="F55" s="53"/>
      <c r="G55" s="53"/>
      <c r="H55" s="53"/>
      <c r="I55" s="53"/>
      <c r="J55" s="53"/>
      <c r="K55" s="53"/>
      <c r="L55" s="53"/>
    </row>
    <row r="56" spans="1:13" ht="16.5" customHeight="1" x14ac:dyDescent="0.25">
      <c r="A56" s="1877" t="s">
        <v>25</v>
      </c>
      <c r="B56" s="1877"/>
      <c r="C56" s="1877"/>
      <c r="D56" s="54"/>
      <c r="E56" s="53"/>
      <c r="F56" s="53"/>
      <c r="G56" s="53"/>
      <c r="H56" s="53"/>
      <c r="I56" s="53"/>
      <c r="J56" s="53"/>
      <c r="K56" s="53"/>
      <c r="L56" s="53"/>
    </row>
    <row r="57" spans="1:13" ht="16.5" customHeight="1" x14ac:dyDescent="0.25">
      <c r="A57" s="53"/>
      <c r="B57" s="54"/>
      <c r="C57" s="54"/>
      <c r="D57" s="54"/>
      <c r="E57" s="53"/>
      <c r="F57" s="53"/>
      <c r="G57" s="53"/>
      <c r="H57" s="53"/>
      <c r="I57" s="53"/>
      <c r="J57" s="53"/>
      <c r="K57" s="53"/>
      <c r="L57" s="53"/>
    </row>
    <row r="58" spans="1:13" ht="18.75" customHeight="1" x14ac:dyDescent="0.25">
      <c r="A58" s="53"/>
      <c r="B58" s="271" t="s">
        <v>56</v>
      </c>
      <c r="C58" s="1193">
        <f>IF(D48="Yes",1,0)</f>
        <v>0</v>
      </c>
      <c r="D58" s="54"/>
      <c r="E58" s="53"/>
      <c r="F58" s="53"/>
      <c r="G58" s="53"/>
      <c r="H58" s="53"/>
      <c r="I58" s="53"/>
      <c r="J58" s="53"/>
      <c r="K58" s="53"/>
      <c r="L58" s="53"/>
    </row>
    <row r="59" spans="1:13" ht="18.75" customHeight="1" x14ac:dyDescent="0.25">
      <c r="A59" s="53"/>
      <c r="B59" s="272" t="s">
        <v>521</v>
      </c>
      <c r="C59" s="1193" t="str">
        <f>IF(AND(COUNTIF(M53:M54,"Yes")=2,C58&gt;0),"Yes","No")</f>
        <v>No</v>
      </c>
      <c r="D59" s="54"/>
      <c r="E59" s="53"/>
      <c r="F59" s="53"/>
      <c r="G59" s="53"/>
      <c r="H59" s="53"/>
      <c r="I59" s="53"/>
      <c r="J59" s="53"/>
      <c r="K59" s="53"/>
      <c r="L59" s="53"/>
    </row>
    <row r="60" spans="1:13" ht="21.75" customHeight="1" x14ac:dyDescent="0.25">
      <c r="A60" s="53"/>
      <c r="B60" s="53"/>
      <c r="C60" s="53"/>
      <c r="D60" s="53"/>
      <c r="E60" s="53"/>
      <c r="F60" s="53"/>
      <c r="G60" s="53"/>
      <c r="H60" s="53"/>
      <c r="I60" s="53"/>
      <c r="J60" s="53"/>
      <c r="K60" s="53"/>
      <c r="L60" s="53"/>
    </row>
    <row r="61" spans="1:13" ht="18.75" customHeight="1" x14ac:dyDescent="0.25">
      <c r="A61" s="1831" t="s">
        <v>578</v>
      </c>
      <c r="B61" s="1831"/>
      <c r="C61" s="1831"/>
      <c r="D61" s="1831"/>
      <c r="E61" s="1831"/>
      <c r="F61" s="1831"/>
      <c r="G61" s="1831"/>
      <c r="H61" s="1831"/>
      <c r="I61" s="1831"/>
      <c r="J61" s="1831"/>
      <c r="K61" s="1831"/>
      <c r="L61" s="1831"/>
    </row>
    <row r="62" spans="1:13" x14ac:dyDescent="0.25">
      <c r="A62" s="53"/>
      <c r="B62" s="53"/>
      <c r="C62" s="53"/>
      <c r="D62" s="53"/>
      <c r="E62" s="54"/>
      <c r="F62" s="53"/>
      <c r="G62" s="53"/>
      <c r="H62" s="53"/>
      <c r="I62" s="53"/>
      <c r="J62" s="53"/>
      <c r="K62" s="53"/>
      <c r="L62" s="53"/>
    </row>
    <row r="63" spans="1:13" ht="16.5" customHeight="1" x14ac:dyDescent="0.25">
      <c r="A63" s="1877" t="s">
        <v>265</v>
      </c>
      <c r="B63" s="1877"/>
      <c r="C63" s="1877"/>
      <c r="D63" s="53"/>
      <c r="E63" s="54"/>
      <c r="F63" s="53"/>
      <c r="G63" s="53"/>
      <c r="H63" s="53"/>
      <c r="I63" s="53"/>
      <c r="J63" s="53"/>
      <c r="K63" s="53"/>
      <c r="L63" s="53"/>
    </row>
    <row r="64" spans="1:13" ht="13.5" customHeight="1" x14ac:dyDescent="0.25">
      <c r="A64" s="53"/>
      <c r="B64" s="53"/>
      <c r="C64" s="53"/>
      <c r="D64" s="53"/>
      <c r="E64" s="54"/>
      <c r="F64" s="53"/>
      <c r="G64" s="53"/>
      <c r="H64" s="53"/>
      <c r="I64" s="53"/>
      <c r="J64" s="53"/>
      <c r="K64" s="53"/>
      <c r="L64" s="53"/>
    </row>
    <row r="65" spans="1:12" x14ac:dyDescent="0.25">
      <c r="A65" s="53"/>
      <c r="B65" s="716" t="s">
        <v>2247</v>
      </c>
      <c r="C65" s="54"/>
      <c r="D65" s="54"/>
      <c r="E65" s="54"/>
      <c r="F65" s="53"/>
      <c r="G65" s="53"/>
      <c r="H65" s="53"/>
      <c r="I65" s="53"/>
      <c r="J65" s="53"/>
      <c r="K65" s="53"/>
      <c r="L65" s="53"/>
    </row>
    <row r="66" spans="1:12" ht="18" customHeight="1" x14ac:dyDescent="0.25">
      <c r="A66" s="53"/>
      <c r="B66" s="54"/>
      <c r="C66" s="54"/>
      <c r="D66" s="54"/>
      <c r="E66" s="54"/>
      <c r="F66" s="53"/>
      <c r="G66" s="53"/>
      <c r="H66" s="53"/>
      <c r="I66" s="53"/>
      <c r="J66" s="53"/>
      <c r="K66" s="53"/>
      <c r="L66" s="53"/>
    </row>
    <row r="67" spans="1:12" x14ac:dyDescent="0.25">
      <c r="A67" s="53"/>
      <c r="B67" s="634" t="s">
        <v>2220</v>
      </c>
      <c r="C67" s="54"/>
      <c r="D67" s="54"/>
      <c r="E67" s="54"/>
      <c r="F67" s="53"/>
      <c r="G67" s="53"/>
      <c r="H67" s="53"/>
      <c r="I67" s="53"/>
      <c r="J67" s="53"/>
      <c r="K67" s="53"/>
      <c r="L67" s="53"/>
    </row>
    <row r="68" spans="1:12" ht="18" customHeight="1" x14ac:dyDescent="0.25">
      <c r="A68" s="53"/>
      <c r="B68" s="54"/>
      <c r="C68" s="54"/>
      <c r="D68" s="54"/>
      <c r="E68" s="54"/>
      <c r="F68" s="53"/>
      <c r="G68" s="53"/>
      <c r="H68" s="53"/>
      <c r="I68" s="53"/>
      <c r="J68" s="53"/>
      <c r="K68" s="53"/>
      <c r="L68" s="53"/>
    </row>
    <row r="69" spans="1:12" ht="15" customHeight="1" x14ac:dyDescent="0.25">
      <c r="A69" s="53"/>
      <c r="B69" s="1411" t="s">
        <v>1548</v>
      </c>
      <c r="C69" s="1411"/>
      <c r="D69" s="1411"/>
      <c r="E69" s="1411"/>
      <c r="F69" s="1411"/>
      <c r="G69" s="1411"/>
      <c r="H69" s="53"/>
      <c r="I69" s="53"/>
      <c r="J69" s="53"/>
      <c r="K69" s="53"/>
      <c r="L69" s="53"/>
    </row>
    <row r="70" spans="1:12" ht="12" customHeight="1" x14ac:dyDescent="0.25">
      <c r="A70" s="53"/>
      <c r="B70" s="54"/>
      <c r="C70" s="54"/>
      <c r="D70" s="54"/>
      <c r="E70" s="54"/>
      <c r="F70" s="53"/>
      <c r="G70" s="53"/>
      <c r="H70" s="53"/>
      <c r="I70" s="53"/>
      <c r="J70" s="53"/>
      <c r="K70" s="53"/>
      <c r="L70" s="53"/>
    </row>
    <row r="71" spans="1:12" ht="27" customHeight="1" x14ac:dyDescent="0.25">
      <c r="A71" s="53"/>
      <c r="B71" s="443" t="s">
        <v>227</v>
      </c>
      <c r="C71" s="448" t="s">
        <v>238</v>
      </c>
      <c r="D71" s="448" t="s">
        <v>2219</v>
      </c>
      <c r="E71" s="448" t="s">
        <v>676</v>
      </c>
      <c r="F71" s="448" t="s">
        <v>228</v>
      </c>
      <c r="G71" s="1145" t="s">
        <v>182</v>
      </c>
      <c r="H71" s="1858" t="s">
        <v>33</v>
      </c>
      <c r="I71" s="1858"/>
      <c r="J71" s="1889"/>
      <c r="K71" s="53"/>
      <c r="L71" s="53"/>
    </row>
    <row r="72" spans="1:12" x14ac:dyDescent="0.25">
      <c r="A72" s="53"/>
      <c r="B72" s="1142"/>
      <c r="C72" s="1146"/>
      <c r="D72" s="1142" t="s">
        <v>129</v>
      </c>
      <c r="E72" s="1146"/>
      <c r="F72" s="1146"/>
      <c r="G72" s="327" t="str">
        <f>IF(OR(D72="",D72="Select"),"",IF(OR(D72="Inherently non-emitting product",D72="Certified product"),"Yes",IF(AND(E72&lt;&gt;"",F72&lt;&gt;""),IF(E72&lt;F72,"Yes","No"),"No")))</f>
        <v/>
      </c>
      <c r="H72" s="1470"/>
      <c r="I72" s="1470"/>
      <c r="J72" s="1470"/>
      <c r="K72" s="53"/>
      <c r="L72" s="53"/>
    </row>
    <row r="73" spans="1:12" x14ac:dyDescent="0.25">
      <c r="A73" s="53"/>
      <c r="B73" s="1142"/>
      <c r="C73" s="1146"/>
      <c r="D73" s="1142" t="s">
        <v>129</v>
      </c>
      <c r="E73" s="1146"/>
      <c r="F73" s="1146"/>
      <c r="G73" s="327" t="str">
        <f t="shared" ref="G73:G81" si="1">IF(OR(D73="",D73="Select"),"",IF(OR(D73="Inherently non-emitting product",D73="Certified product"),"Yes",IF(AND(E73&lt;&gt;"",F73&lt;&gt;""),IF(E73&lt;F73,"Yes","No"),"No")))</f>
        <v/>
      </c>
      <c r="H73" s="1470"/>
      <c r="I73" s="1470"/>
      <c r="J73" s="1470"/>
      <c r="K73" s="53"/>
      <c r="L73" s="53"/>
    </row>
    <row r="74" spans="1:12" x14ac:dyDescent="0.25">
      <c r="A74" s="53"/>
      <c r="B74" s="1142"/>
      <c r="C74" s="1146"/>
      <c r="D74" s="1142" t="s">
        <v>129</v>
      </c>
      <c r="E74" s="1146"/>
      <c r="F74" s="1146"/>
      <c r="G74" s="327" t="str">
        <f t="shared" si="1"/>
        <v/>
      </c>
      <c r="H74" s="1470"/>
      <c r="I74" s="1470"/>
      <c r="J74" s="1470"/>
      <c r="K74" s="53"/>
      <c r="L74" s="53"/>
    </row>
    <row r="75" spans="1:12" x14ac:dyDescent="0.25">
      <c r="A75" s="53"/>
      <c r="B75" s="1142"/>
      <c r="C75" s="1146"/>
      <c r="D75" s="1142" t="s">
        <v>129</v>
      </c>
      <c r="E75" s="1146"/>
      <c r="F75" s="1146"/>
      <c r="G75" s="327" t="str">
        <f t="shared" si="1"/>
        <v/>
      </c>
      <c r="H75" s="1470"/>
      <c r="I75" s="1470"/>
      <c r="J75" s="1470"/>
      <c r="K75" s="53"/>
      <c r="L75" s="53"/>
    </row>
    <row r="76" spans="1:12" x14ac:dyDescent="0.25">
      <c r="A76" s="53"/>
      <c r="B76" s="1142"/>
      <c r="C76" s="1146"/>
      <c r="D76" s="1142" t="s">
        <v>129</v>
      </c>
      <c r="E76" s="1146"/>
      <c r="F76" s="1146"/>
      <c r="G76" s="327" t="str">
        <f t="shared" si="1"/>
        <v/>
      </c>
      <c r="H76" s="1470"/>
      <c r="I76" s="1470"/>
      <c r="J76" s="1470"/>
      <c r="K76" s="53"/>
      <c r="L76" s="53"/>
    </row>
    <row r="77" spans="1:12" x14ac:dyDescent="0.25">
      <c r="A77" s="53"/>
      <c r="B77" s="1142"/>
      <c r="C77" s="1146"/>
      <c r="D77" s="1142" t="s">
        <v>129</v>
      </c>
      <c r="E77" s="1146"/>
      <c r="F77" s="1146"/>
      <c r="G77" s="327" t="str">
        <f t="shared" si="1"/>
        <v/>
      </c>
      <c r="H77" s="1470"/>
      <c r="I77" s="1470"/>
      <c r="J77" s="1470"/>
      <c r="K77" s="53"/>
      <c r="L77" s="53"/>
    </row>
    <row r="78" spans="1:12" x14ac:dyDescent="0.25">
      <c r="A78" s="53"/>
      <c r="B78" s="1142"/>
      <c r="C78" s="1146"/>
      <c r="D78" s="1142" t="s">
        <v>129</v>
      </c>
      <c r="E78" s="1146"/>
      <c r="F78" s="1146"/>
      <c r="G78" s="327" t="str">
        <f t="shared" si="1"/>
        <v/>
      </c>
      <c r="H78" s="1470"/>
      <c r="I78" s="1470"/>
      <c r="J78" s="1470"/>
      <c r="K78" s="53"/>
      <c r="L78" s="53"/>
    </row>
    <row r="79" spans="1:12" x14ac:dyDescent="0.25">
      <c r="A79" s="53"/>
      <c r="B79" s="1142"/>
      <c r="C79" s="186"/>
      <c r="D79" s="1142" t="s">
        <v>129</v>
      </c>
      <c r="E79" s="186"/>
      <c r="F79" s="186"/>
      <c r="G79" s="327" t="str">
        <f t="shared" si="1"/>
        <v/>
      </c>
      <c r="H79" s="1470"/>
      <c r="I79" s="1470"/>
      <c r="J79" s="1470"/>
      <c r="K79" s="53"/>
      <c r="L79" s="53"/>
    </row>
    <row r="80" spans="1:12" x14ac:dyDescent="0.25">
      <c r="A80" s="53"/>
      <c r="B80" s="1142"/>
      <c r="C80" s="186"/>
      <c r="D80" s="1142" t="s">
        <v>129</v>
      </c>
      <c r="E80" s="186"/>
      <c r="F80" s="186"/>
      <c r="G80" s="327" t="str">
        <f t="shared" si="1"/>
        <v/>
      </c>
      <c r="H80" s="1470"/>
      <c r="I80" s="1470"/>
      <c r="J80" s="1470"/>
      <c r="K80" s="53"/>
      <c r="L80" s="53"/>
    </row>
    <row r="81" spans="1:13" x14ac:dyDescent="0.25">
      <c r="A81" s="53"/>
      <c r="B81" s="1142"/>
      <c r="C81" s="186"/>
      <c r="D81" s="1142" t="s">
        <v>129</v>
      </c>
      <c r="E81" s="186"/>
      <c r="F81" s="186"/>
      <c r="G81" s="327" t="str">
        <f t="shared" si="1"/>
        <v/>
      </c>
      <c r="H81" s="1470"/>
      <c r="I81" s="1470"/>
      <c r="J81" s="1470"/>
      <c r="K81" s="53"/>
      <c r="L81" s="53"/>
    </row>
    <row r="82" spans="1:13" ht="16.5" customHeight="1" x14ac:dyDescent="0.25">
      <c r="A82" s="53"/>
      <c r="B82" s="54"/>
      <c r="C82" s="54"/>
      <c r="D82" s="54"/>
      <c r="E82" s="54"/>
      <c r="F82" s="53"/>
      <c r="G82" s="53"/>
      <c r="H82" s="53"/>
      <c r="I82" s="53"/>
      <c r="J82" s="53"/>
      <c r="K82" s="53"/>
      <c r="L82" s="53"/>
    </row>
    <row r="83" spans="1:13" ht="18" customHeight="1" x14ac:dyDescent="0.25">
      <c r="A83" s="53"/>
      <c r="B83" s="1830" t="s">
        <v>239</v>
      </c>
      <c r="C83" s="1830"/>
      <c r="D83" s="86" t="str">
        <f>IF(COUNTBLANK(G72:G81)=10,"",IF(COUNTIF(G72:G81,"No")=0,"Yes","No"))</f>
        <v/>
      </c>
      <c r="E83" s="53"/>
      <c r="F83" s="53"/>
      <c r="G83" s="53"/>
      <c r="H83" s="53"/>
      <c r="I83" s="53"/>
      <c r="J83" s="53"/>
      <c r="K83" s="53"/>
      <c r="L83" s="53"/>
    </row>
    <row r="84" spans="1:13" ht="20.25" customHeight="1" x14ac:dyDescent="0.25">
      <c r="A84" s="53"/>
      <c r="B84" s="54"/>
      <c r="C84" s="54"/>
      <c r="D84" s="54"/>
      <c r="E84" s="53"/>
      <c r="F84" s="53"/>
      <c r="G84" s="53"/>
      <c r="H84" s="53"/>
      <c r="I84" s="53"/>
      <c r="J84" s="53"/>
      <c r="K84" s="53"/>
      <c r="L84" s="53"/>
    </row>
    <row r="85" spans="1:13" ht="16.5" customHeight="1" x14ac:dyDescent="0.25">
      <c r="A85" s="1877" t="s">
        <v>200</v>
      </c>
      <c r="B85" s="1877"/>
      <c r="C85" s="1877"/>
      <c r="D85" s="54"/>
      <c r="E85" s="54"/>
      <c r="F85" s="54"/>
      <c r="G85" s="54"/>
      <c r="H85" s="54"/>
      <c r="I85" s="54"/>
      <c r="J85" s="54"/>
      <c r="K85" s="54"/>
      <c r="L85" s="54"/>
    </row>
    <row r="86" spans="1:13" x14ac:dyDescent="0.25">
      <c r="A86" s="53"/>
      <c r="B86" s="54"/>
      <c r="C86" s="54"/>
      <c r="D86" s="54"/>
      <c r="E86" s="53"/>
      <c r="F86" s="53"/>
      <c r="G86" s="53"/>
      <c r="H86" s="53"/>
      <c r="I86" s="53"/>
      <c r="J86" s="53"/>
      <c r="K86" s="53"/>
      <c r="L86" s="53"/>
    </row>
    <row r="87" spans="1:13" ht="21" customHeight="1" x14ac:dyDescent="0.25">
      <c r="A87" s="53"/>
      <c r="B87" s="1856" t="s">
        <v>204</v>
      </c>
      <c r="C87" s="1857"/>
      <c r="D87" s="1857"/>
      <c r="E87" s="1857"/>
      <c r="F87" s="1857"/>
      <c r="G87" s="1145" t="s">
        <v>2101</v>
      </c>
      <c r="H87" s="1834" t="s">
        <v>2102</v>
      </c>
      <c r="I87" s="1834"/>
      <c r="J87" s="53"/>
      <c r="K87" s="53"/>
      <c r="L87" s="53"/>
    </row>
    <row r="88" spans="1:13" ht="30" customHeight="1" x14ac:dyDescent="0.25">
      <c r="A88" s="53"/>
      <c r="B88" s="1436" t="s">
        <v>2241</v>
      </c>
      <c r="C88" s="1437"/>
      <c r="D88" s="1437"/>
      <c r="E88" s="1437"/>
      <c r="F88" s="1437"/>
      <c r="G88" s="1142" t="s">
        <v>129</v>
      </c>
      <c r="H88" s="1737"/>
      <c r="I88" s="1738"/>
      <c r="J88" s="53"/>
      <c r="K88" s="53"/>
      <c r="L88" s="53"/>
      <c r="M88" s="42" t="str">
        <f>IF(OR(B88="/",B88="No evidence required at this submission stage"),"Yes",IF(G88="Submitted","Yes","No"))</f>
        <v>No</v>
      </c>
    </row>
    <row r="89" spans="1:13" ht="30" customHeight="1" x14ac:dyDescent="0.25">
      <c r="A89" s="53"/>
      <c r="B89" s="1436" t="s">
        <v>2242</v>
      </c>
      <c r="C89" s="1437"/>
      <c r="D89" s="1437"/>
      <c r="E89" s="1437"/>
      <c r="F89" s="1437"/>
      <c r="G89" s="1142" t="s">
        <v>129</v>
      </c>
      <c r="H89" s="1737"/>
      <c r="I89" s="1738"/>
      <c r="J89" s="53"/>
      <c r="K89" s="53"/>
      <c r="L89" s="53"/>
      <c r="M89" s="42" t="str">
        <f>IF(OR(B89="/",B89="No evidence required at this submission stage"),"Yes",IF(G89="Submitted","Yes","No"))</f>
        <v>No</v>
      </c>
    </row>
    <row r="90" spans="1:13" ht="20.25" customHeight="1" x14ac:dyDescent="0.25">
      <c r="A90" s="53"/>
      <c r="B90" s="54"/>
      <c r="C90" s="54"/>
      <c r="D90" s="54"/>
      <c r="E90" s="53"/>
      <c r="F90" s="53"/>
      <c r="G90" s="53"/>
      <c r="H90" s="53"/>
      <c r="I90" s="53"/>
      <c r="J90" s="53"/>
      <c r="K90" s="53"/>
      <c r="L90" s="53"/>
    </row>
    <row r="91" spans="1:13" ht="16.5" customHeight="1" x14ac:dyDescent="0.25">
      <c r="A91" s="1877" t="s">
        <v>25</v>
      </c>
      <c r="B91" s="1877"/>
      <c r="C91" s="1877"/>
      <c r="D91" s="54"/>
      <c r="E91" s="53"/>
      <c r="F91" s="53"/>
      <c r="G91" s="53"/>
      <c r="H91" s="53"/>
      <c r="I91" s="53"/>
      <c r="J91" s="53"/>
      <c r="K91" s="53"/>
      <c r="L91" s="53"/>
    </row>
    <row r="92" spans="1:13" ht="16.5" customHeight="1" x14ac:dyDescent="0.25">
      <c r="A92" s="53"/>
      <c r="B92" s="54"/>
      <c r="C92" s="54"/>
      <c r="D92" s="54"/>
      <c r="E92" s="53"/>
      <c r="F92" s="53"/>
      <c r="G92" s="53"/>
      <c r="H92" s="53"/>
      <c r="I92" s="53"/>
      <c r="J92" s="53"/>
      <c r="K92" s="53"/>
      <c r="L92" s="53"/>
    </row>
    <row r="93" spans="1:13" ht="18" customHeight="1" x14ac:dyDescent="0.25">
      <c r="A93" s="53"/>
      <c r="B93" s="271" t="s">
        <v>56</v>
      </c>
      <c r="C93" s="1193">
        <f>IF(D83="Yes",1,0)</f>
        <v>0</v>
      </c>
      <c r="D93" s="54"/>
      <c r="E93" s="53"/>
      <c r="F93" s="53"/>
      <c r="G93" s="53"/>
      <c r="H93" s="53"/>
      <c r="I93" s="53"/>
      <c r="J93" s="53"/>
      <c r="K93" s="53"/>
      <c r="L93" s="53"/>
    </row>
    <row r="94" spans="1:13" ht="18" customHeight="1" x14ac:dyDescent="0.25">
      <c r="A94" s="53"/>
      <c r="B94" s="272" t="s">
        <v>521</v>
      </c>
      <c r="C94" s="1193" t="str">
        <f>IF(AND(COUNTIF(M88:M89,"Yes")=2,C93&gt;0),"Yes","No")</f>
        <v>No</v>
      </c>
      <c r="D94" s="54"/>
      <c r="E94" s="53"/>
      <c r="F94" s="53"/>
      <c r="G94" s="53"/>
      <c r="H94" s="53"/>
      <c r="I94" s="53"/>
      <c r="J94" s="53"/>
      <c r="K94" s="53"/>
      <c r="L94" s="53"/>
    </row>
    <row r="95" spans="1:13" ht="21.75" customHeight="1" x14ac:dyDescent="0.25">
      <c r="A95" s="53"/>
      <c r="B95" s="54"/>
      <c r="C95" s="54"/>
      <c r="D95" s="54"/>
      <c r="E95" s="53"/>
      <c r="F95" s="53"/>
      <c r="G95" s="53"/>
      <c r="H95" s="53"/>
      <c r="I95" s="53"/>
      <c r="J95" s="53"/>
      <c r="K95" s="53"/>
      <c r="L95" s="53"/>
    </row>
    <row r="96" spans="1:13" ht="18.75" customHeight="1" x14ac:dyDescent="0.25">
      <c r="A96" s="1831" t="s">
        <v>2245</v>
      </c>
      <c r="B96" s="1831"/>
      <c r="C96" s="1831"/>
      <c r="D96" s="1831"/>
      <c r="E96" s="1831"/>
      <c r="F96" s="1831"/>
      <c r="G96" s="1831"/>
      <c r="H96" s="1831"/>
      <c r="I96" s="1831"/>
      <c r="J96" s="1831"/>
      <c r="K96" s="1831"/>
      <c r="L96" s="1831"/>
    </row>
    <row r="97" spans="1:13" x14ac:dyDescent="0.25">
      <c r="A97" s="53"/>
      <c r="B97" s="53"/>
      <c r="C97" s="53"/>
      <c r="D97" s="53"/>
      <c r="E97" s="54"/>
      <c r="F97" s="53"/>
      <c r="G97" s="53"/>
      <c r="H97" s="53"/>
      <c r="I97" s="53"/>
      <c r="J97" s="53"/>
      <c r="K97" s="53"/>
      <c r="L97" s="53"/>
    </row>
    <row r="98" spans="1:13" ht="16.5" customHeight="1" x14ac:dyDescent="0.25">
      <c r="A98" s="1877" t="s">
        <v>265</v>
      </c>
      <c r="B98" s="1877"/>
      <c r="C98" s="1877"/>
      <c r="D98" s="53"/>
      <c r="E98" s="54"/>
      <c r="F98" s="53"/>
      <c r="G98" s="53"/>
      <c r="H98" s="53"/>
      <c r="I98" s="53"/>
      <c r="J98" s="53"/>
      <c r="K98" s="53"/>
      <c r="L98" s="53"/>
    </row>
    <row r="99" spans="1:13" ht="14.25" customHeight="1" x14ac:dyDescent="0.25">
      <c r="A99" s="53"/>
      <c r="B99" s="53"/>
      <c r="C99" s="53"/>
      <c r="D99" s="53"/>
      <c r="E99" s="54"/>
      <c r="F99" s="53"/>
      <c r="G99" s="53"/>
      <c r="H99" s="53"/>
      <c r="I99" s="53"/>
      <c r="J99" s="53"/>
      <c r="K99" s="53"/>
      <c r="L99" s="53"/>
    </row>
    <row r="100" spans="1:13" x14ac:dyDescent="0.25">
      <c r="A100" s="53"/>
      <c r="B100" s="716" t="s">
        <v>2246</v>
      </c>
      <c r="C100" s="54"/>
      <c r="D100" s="54"/>
      <c r="E100" s="54"/>
      <c r="F100" s="53"/>
      <c r="G100" s="53"/>
      <c r="H100" s="53"/>
      <c r="I100" s="53"/>
      <c r="J100" s="53"/>
      <c r="K100" s="53"/>
      <c r="L100" s="53"/>
    </row>
    <row r="101" spans="1:13" ht="18" customHeight="1" x14ac:dyDescent="0.25">
      <c r="A101" s="53"/>
      <c r="B101" s="54"/>
      <c r="C101" s="54"/>
      <c r="D101" s="54"/>
      <c r="E101" s="54"/>
      <c r="F101" s="53"/>
      <c r="G101" s="53"/>
      <c r="H101" s="53"/>
      <c r="I101" s="53"/>
      <c r="J101" s="53"/>
      <c r="K101" s="53"/>
      <c r="L101" s="53"/>
    </row>
    <row r="102" spans="1:13" x14ac:dyDescent="0.25">
      <c r="A102" s="53"/>
      <c r="B102" s="634" t="s">
        <v>2221</v>
      </c>
      <c r="C102" s="54"/>
      <c r="D102" s="54"/>
      <c r="E102" s="54"/>
      <c r="F102" s="53"/>
      <c r="G102" s="53"/>
      <c r="H102" s="53"/>
      <c r="I102" s="53"/>
      <c r="J102" s="53"/>
      <c r="K102" s="53"/>
      <c r="L102" s="53"/>
    </row>
    <row r="103" spans="1:13" x14ac:dyDescent="0.25">
      <c r="A103" s="53"/>
      <c r="B103" s="634" t="s">
        <v>2222</v>
      </c>
      <c r="C103" s="54"/>
      <c r="D103" s="54"/>
      <c r="E103" s="54"/>
      <c r="F103" s="53"/>
      <c r="G103" s="53"/>
      <c r="H103" s="53"/>
      <c r="I103" s="53"/>
      <c r="J103" s="53"/>
      <c r="K103" s="53"/>
      <c r="L103" s="53"/>
    </row>
    <row r="104" spans="1:13" ht="18" customHeight="1" x14ac:dyDescent="0.25">
      <c r="A104" s="53"/>
      <c r="B104" s="54"/>
      <c r="C104" s="54"/>
      <c r="D104" s="54"/>
      <c r="E104" s="54"/>
      <c r="F104" s="53"/>
      <c r="G104" s="53"/>
      <c r="H104" s="53"/>
      <c r="I104" s="53"/>
      <c r="J104" s="53"/>
      <c r="K104" s="53"/>
      <c r="L104" s="53"/>
    </row>
    <row r="105" spans="1:13" ht="15" customHeight="1" x14ac:dyDescent="0.25">
      <c r="A105" s="53"/>
      <c r="B105" s="1411" t="s">
        <v>2223</v>
      </c>
      <c r="C105" s="1411"/>
      <c r="D105" s="1411"/>
      <c r="E105" s="1411"/>
      <c r="F105" s="1411"/>
      <c r="G105" s="1411"/>
      <c r="H105" s="53"/>
      <c r="I105" s="53"/>
      <c r="J105" s="53"/>
      <c r="K105" s="53"/>
      <c r="L105" s="53"/>
    </row>
    <row r="106" spans="1:13" ht="12" customHeight="1" x14ac:dyDescent="0.25">
      <c r="A106" s="53"/>
      <c r="B106" s="54"/>
      <c r="C106" s="54"/>
      <c r="D106" s="54"/>
      <c r="E106" s="53"/>
      <c r="F106" s="53"/>
      <c r="G106" s="53"/>
      <c r="H106" s="53"/>
      <c r="I106" s="53"/>
      <c r="J106" s="53"/>
      <c r="K106" s="53"/>
      <c r="L106" s="53"/>
    </row>
    <row r="107" spans="1:13" ht="27" customHeight="1" x14ac:dyDescent="0.25">
      <c r="A107" s="53"/>
      <c r="B107" s="443" t="s">
        <v>227</v>
      </c>
      <c r="C107" s="448" t="s">
        <v>2224</v>
      </c>
      <c r="D107" s="448" t="s">
        <v>2219</v>
      </c>
      <c r="E107" s="448" t="s">
        <v>676</v>
      </c>
      <c r="F107" s="448" t="s">
        <v>228</v>
      </c>
      <c r="G107" s="1145" t="s">
        <v>182</v>
      </c>
      <c r="H107" s="1858" t="s">
        <v>33</v>
      </c>
      <c r="I107" s="1858"/>
      <c r="J107" s="1889"/>
      <c r="K107" s="53"/>
      <c r="L107" s="53"/>
      <c r="M107" s="53"/>
    </row>
    <row r="108" spans="1:13" x14ac:dyDescent="0.25">
      <c r="A108" s="53"/>
      <c r="B108" s="1142"/>
      <c r="C108" s="1146"/>
      <c r="D108" s="1142" t="s">
        <v>129</v>
      </c>
      <c r="E108" s="1146"/>
      <c r="F108" s="1146"/>
      <c r="G108" s="327" t="str">
        <f>IF(OR(D108="",D108="Select"),"",IF(OR(D108="Inherently non-emitting product",D108="Certified product"),"Yes",IF(AND(E108&lt;&gt;"",F108&lt;&gt;""),IF(E108&lt;F108,"Yes","No"),"No")))</f>
        <v/>
      </c>
      <c r="H108" s="1470"/>
      <c r="I108" s="1470"/>
      <c r="J108" s="1470"/>
      <c r="K108" s="53"/>
      <c r="L108" s="53"/>
      <c r="M108" s="53"/>
    </row>
    <row r="109" spans="1:13" x14ac:dyDescent="0.25">
      <c r="A109" s="53"/>
      <c r="B109" s="1142"/>
      <c r="C109" s="1146"/>
      <c r="D109" s="1142" t="s">
        <v>129</v>
      </c>
      <c r="E109" s="1146"/>
      <c r="F109" s="1146"/>
      <c r="G109" s="327" t="str">
        <f t="shared" ref="G109:G117" si="2">IF(OR(D109="",D109="Select"),"",IF(OR(D109="Inherently non-emitting product",D109="Certified product"),"Yes",IF(AND(E109&lt;&gt;"",F109&lt;&gt;""),IF(E109&lt;F109,"Yes","No"),"No")))</f>
        <v/>
      </c>
      <c r="H109" s="1470"/>
      <c r="I109" s="1470"/>
      <c r="J109" s="1470"/>
      <c r="K109" s="53"/>
      <c r="L109" s="53"/>
      <c r="M109" s="53"/>
    </row>
    <row r="110" spans="1:13" x14ac:dyDescent="0.25">
      <c r="A110" s="53"/>
      <c r="B110" s="1142"/>
      <c r="C110" s="1146"/>
      <c r="D110" s="1142" t="s">
        <v>129</v>
      </c>
      <c r="E110" s="1146"/>
      <c r="F110" s="1146"/>
      <c r="G110" s="327" t="str">
        <f t="shared" si="2"/>
        <v/>
      </c>
      <c r="H110" s="1470"/>
      <c r="I110" s="1470"/>
      <c r="J110" s="1470"/>
      <c r="K110" s="53"/>
      <c r="L110" s="53"/>
      <c r="M110" s="53"/>
    </row>
    <row r="111" spans="1:13" x14ac:dyDescent="0.25">
      <c r="A111" s="53"/>
      <c r="B111" s="1142"/>
      <c r="C111" s="1146"/>
      <c r="D111" s="1142" t="s">
        <v>129</v>
      </c>
      <c r="E111" s="1146"/>
      <c r="F111" s="1146"/>
      <c r="G111" s="327" t="str">
        <f t="shared" si="2"/>
        <v/>
      </c>
      <c r="H111" s="1470"/>
      <c r="I111" s="1470"/>
      <c r="J111" s="1470"/>
      <c r="K111" s="53"/>
      <c r="L111" s="53"/>
      <c r="M111" s="53"/>
    </row>
    <row r="112" spans="1:13" x14ac:dyDescent="0.25">
      <c r="A112" s="53"/>
      <c r="B112" s="1142"/>
      <c r="C112" s="1146"/>
      <c r="D112" s="1142" t="s">
        <v>129</v>
      </c>
      <c r="E112" s="1146"/>
      <c r="F112" s="1146"/>
      <c r="G112" s="327" t="str">
        <f t="shared" si="2"/>
        <v/>
      </c>
      <c r="H112" s="1470"/>
      <c r="I112" s="1470"/>
      <c r="J112" s="1470"/>
      <c r="K112" s="53"/>
      <c r="L112" s="53"/>
      <c r="M112" s="53"/>
    </row>
    <row r="113" spans="1:13" x14ac:dyDescent="0.25">
      <c r="A113" s="53"/>
      <c r="B113" s="1142"/>
      <c r="C113" s="1146"/>
      <c r="D113" s="1142" t="s">
        <v>129</v>
      </c>
      <c r="E113" s="1146"/>
      <c r="F113" s="1146"/>
      <c r="G113" s="327" t="str">
        <f t="shared" si="2"/>
        <v/>
      </c>
      <c r="H113" s="1470"/>
      <c r="I113" s="1470"/>
      <c r="J113" s="1470"/>
      <c r="K113" s="53"/>
      <c r="L113" s="53"/>
      <c r="M113" s="53"/>
    </row>
    <row r="114" spans="1:13" x14ac:dyDescent="0.25">
      <c r="A114" s="53"/>
      <c r="B114" s="1142"/>
      <c r="C114" s="1146"/>
      <c r="D114" s="1142" t="s">
        <v>129</v>
      </c>
      <c r="E114" s="1146"/>
      <c r="F114" s="1146"/>
      <c r="G114" s="327" t="str">
        <f t="shared" si="2"/>
        <v/>
      </c>
      <c r="H114" s="1470"/>
      <c r="I114" s="1470"/>
      <c r="J114" s="1470"/>
      <c r="K114" s="53"/>
      <c r="L114" s="53"/>
      <c r="M114" s="53"/>
    </row>
    <row r="115" spans="1:13" x14ac:dyDescent="0.25">
      <c r="A115" s="53"/>
      <c r="B115" s="1142"/>
      <c r="C115" s="186"/>
      <c r="D115" s="1142" t="s">
        <v>129</v>
      </c>
      <c r="E115" s="186"/>
      <c r="F115" s="186"/>
      <c r="G115" s="327" t="str">
        <f t="shared" si="2"/>
        <v/>
      </c>
      <c r="H115" s="1470"/>
      <c r="I115" s="1470"/>
      <c r="J115" s="1470"/>
      <c r="K115" s="53"/>
      <c r="L115" s="53"/>
      <c r="M115" s="53"/>
    </row>
    <row r="116" spans="1:13" x14ac:dyDescent="0.25">
      <c r="A116" s="53"/>
      <c r="B116" s="1142"/>
      <c r="C116" s="186"/>
      <c r="D116" s="1142" t="s">
        <v>129</v>
      </c>
      <c r="E116" s="186"/>
      <c r="F116" s="186"/>
      <c r="G116" s="327" t="str">
        <f t="shared" si="2"/>
        <v/>
      </c>
      <c r="H116" s="1470"/>
      <c r="I116" s="1470"/>
      <c r="J116" s="1470"/>
      <c r="K116" s="53"/>
      <c r="L116" s="53"/>
      <c r="M116" s="53"/>
    </row>
    <row r="117" spans="1:13" x14ac:dyDescent="0.25">
      <c r="A117" s="53"/>
      <c r="B117" s="1142"/>
      <c r="C117" s="186"/>
      <c r="D117" s="1142" t="s">
        <v>129</v>
      </c>
      <c r="E117" s="186"/>
      <c r="F117" s="186"/>
      <c r="G117" s="327" t="str">
        <f t="shared" si="2"/>
        <v/>
      </c>
      <c r="H117" s="1470"/>
      <c r="I117" s="1470"/>
      <c r="J117" s="1470"/>
      <c r="K117" s="53"/>
      <c r="L117" s="53"/>
      <c r="M117" s="53"/>
    </row>
    <row r="118" spans="1:13" ht="16.5" customHeight="1" x14ac:dyDescent="0.25">
      <c r="A118" s="53"/>
      <c r="B118" s="54"/>
      <c r="C118" s="54"/>
      <c r="D118" s="54"/>
      <c r="E118" s="54"/>
      <c r="F118" s="53"/>
      <c r="G118" s="53"/>
      <c r="H118" s="53"/>
      <c r="I118" s="53"/>
      <c r="J118" s="53"/>
      <c r="K118" s="53"/>
      <c r="L118" s="53"/>
    </row>
    <row r="119" spans="1:13" ht="18" customHeight="1" x14ac:dyDescent="0.25">
      <c r="A119" s="53"/>
      <c r="B119" s="1830" t="s">
        <v>2225</v>
      </c>
      <c r="C119" s="1830"/>
      <c r="D119" s="86" t="str">
        <f>IF(COUNTBLANK(G108:G117)=10,"",IF(COUNTIF(G108:G117,"No")=0,"Yes","No"))</f>
        <v/>
      </c>
      <c r="E119" s="53"/>
      <c r="F119" s="53"/>
      <c r="G119" s="53"/>
      <c r="H119" s="53"/>
      <c r="I119" s="53"/>
      <c r="J119" s="53"/>
      <c r="K119" s="53"/>
      <c r="L119" s="53"/>
    </row>
    <row r="120" spans="1:13" ht="18.75" customHeight="1" x14ac:dyDescent="0.25">
      <c r="A120" s="53"/>
      <c r="B120" s="54"/>
      <c r="C120" s="54"/>
      <c r="D120" s="54"/>
      <c r="E120" s="53"/>
      <c r="F120" s="53"/>
      <c r="G120" s="53"/>
      <c r="H120" s="53"/>
      <c r="I120" s="53"/>
      <c r="J120" s="53"/>
      <c r="K120" s="53"/>
      <c r="L120" s="53"/>
    </row>
    <row r="121" spans="1:13" ht="16.5" customHeight="1" x14ac:dyDescent="0.25">
      <c r="A121" s="1877" t="s">
        <v>200</v>
      </c>
      <c r="B121" s="1877"/>
      <c r="C121" s="1877"/>
      <c r="D121" s="54"/>
      <c r="E121" s="54"/>
      <c r="F121" s="54"/>
      <c r="G121" s="54"/>
      <c r="H121" s="54"/>
      <c r="I121" s="54"/>
      <c r="J121" s="54"/>
      <c r="K121" s="54"/>
      <c r="L121" s="54"/>
    </row>
    <row r="122" spans="1:13" x14ac:dyDescent="0.25">
      <c r="A122" s="53"/>
      <c r="B122" s="54"/>
      <c r="C122" s="54"/>
      <c r="D122" s="54"/>
      <c r="E122" s="53"/>
      <c r="F122" s="53"/>
      <c r="G122" s="53"/>
      <c r="H122" s="53"/>
      <c r="I122" s="53"/>
      <c r="J122" s="53"/>
      <c r="K122" s="53"/>
      <c r="L122" s="53"/>
    </row>
    <row r="123" spans="1:13" ht="21" customHeight="1" x14ac:dyDescent="0.25">
      <c r="A123" s="53"/>
      <c r="B123" s="1856" t="s">
        <v>204</v>
      </c>
      <c r="C123" s="1857"/>
      <c r="D123" s="1857"/>
      <c r="E123" s="1857"/>
      <c r="F123" s="1857"/>
      <c r="G123" s="1145" t="s">
        <v>2101</v>
      </c>
      <c r="H123" s="1834" t="s">
        <v>2102</v>
      </c>
      <c r="I123" s="1834"/>
      <c r="J123" s="53"/>
      <c r="K123" s="53"/>
      <c r="L123" s="53"/>
    </row>
    <row r="124" spans="1:13" ht="30" customHeight="1" x14ac:dyDescent="0.25">
      <c r="A124" s="53"/>
      <c r="B124" s="1436" t="s">
        <v>2241</v>
      </c>
      <c r="C124" s="1437"/>
      <c r="D124" s="1437"/>
      <c r="E124" s="1437"/>
      <c r="F124" s="1437"/>
      <c r="G124" s="1142" t="s">
        <v>129</v>
      </c>
      <c r="H124" s="1737"/>
      <c r="I124" s="1738"/>
      <c r="J124" s="53"/>
      <c r="K124" s="53"/>
      <c r="L124" s="53"/>
      <c r="M124" s="42" t="str">
        <f>IF(OR(B124="/",B124="No evidence required at this submission stage"),"Yes",IF(G124="Submitted","Yes","No"))</f>
        <v>No</v>
      </c>
    </row>
    <row r="125" spans="1:13" ht="30" customHeight="1" x14ac:dyDescent="0.25">
      <c r="A125" s="53"/>
      <c r="B125" s="1436" t="s">
        <v>2242</v>
      </c>
      <c r="C125" s="1437"/>
      <c r="D125" s="1437"/>
      <c r="E125" s="1437"/>
      <c r="F125" s="1437"/>
      <c r="G125" s="1142" t="s">
        <v>129</v>
      </c>
      <c r="H125" s="1737"/>
      <c r="I125" s="1738"/>
      <c r="J125" s="53"/>
      <c r="K125" s="53"/>
      <c r="L125" s="53"/>
      <c r="M125" s="42" t="str">
        <f>IF(OR(B125="/",B125="No evidence required at this submission stage"),"Yes",IF(G125="Submitted","Yes","No"))</f>
        <v>No</v>
      </c>
    </row>
    <row r="126" spans="1:13" ht="19.5" customHeight="1" x14ac:dyDescent="0.25">
      <c r="A126" s="53"/>
      <c r="B126" s="54"/>
      <c r="C126" s="54"/>
      <c r="D126" s="54"/>
      <c r="E126" s="53"/>
      <c r="F126" s="53"/>
      <c r="G126" s="53"/>
      <c r="H126" s="53"/>
      <c r="I126" s="53"/>
      <c r="J126" s="53"/>
      <c r="K126" s="53"/>
      <c r="L126" s="53"/>
    </row>
    <row r="127" spans="1:13" ht="16.5" customHeight="1" x14ac:dyDescent="0.25">
      <c r="A127" s="1877" t="s">
        <v>25</v>
      </c>
      <c r="B127" s="1877"/>
      <c r="C127" s="1877"/>
      <c r="D127" s="54"/>
      <c r="E127" s="53"/>
      <c r="F127" s="53"/>
      <c r="G127" s="53"/>
      <c r="H127" s="53"/>
      <c r="I127" s="53"/>
      <c r="J127" s="53"/>
      <c r="K127" s="53"/>
      <c r="L127" s="53"/>
    </row>
    <row r="128" spans="1:13" ht="16.5" customHeight="1" x14ac:dyDescent="0.25">
      <c r="A128" s="53"/>
      <c r="B128" s="54"/>
      <c r="C128" s="54"/>
      <c r="D128" s="54"/>
      <c r="E128" s="53"/>
      <c r="F128" s="53"/>
      <c r="G128" s="53"/>
      <c r="H128" s="53"/>
      <c r="I128" s="53"/>
      <c r="J128" s="53"/>
      <c r="K128" s="53"/>
      <c r="L128" s="53"/>
    </row>
    <row r="129" spans="1:12" ht="18" customHeight="1" x14ac:dyDescent="0.25">
      <c r="A129" s="53"/>
      <c r="B129" s="271" t="s">
        <v>56</v>
      </c>
      <c r="C129" s="1193">
        <f>IF(D119="Yes",1,0)</f>
        <v>0</v>
      </c>
      <c r="D129" s="54"/>
      <c r="E129" s="53"/>
      <c r="F129" s="53"/>
      <c r="G129" s="53"/>
      <c r="H129" s="53"/>
      <c r="I129" s="53"/>
      <c r="J129" s="53"/>
      <c r="K129" s="53"/>
      <c r="L129" s="53"/>
    </row>
    <row r="130" spans="1:12" ht="18" customHeight="1" x14ac:dyDescent="0.25">
      <c r="A130" s="53"/>
      <c r="B130" s="272" t="s">
        <v>521</v>
      </c>
      <c r="C130" s="1193" t="str">
        <f>IF(AND(COUNTIF(M124:M125,"Yes")=2,C129&gt;0),"Yes","No")</f>
        <v>No</v>
      </c>
      <c r="D130" s="54"/>
      <c r="E130" s="53"/>
      <c r="F130" s="53"/>
      <c r="G130" s="53"/>
      <c r="H130" s="53"/>
      <c r="I130" s="53"/>
      <c r="J130" s="53"/>
      <c r="K130" s="53"/>
      <c r="L130" s="53"/>
    </row>
    <row r="131" spans="1:12" ht="21" customHeight="1" x14ac:dyDescent="0.25">
      <c r="A131" s="53"/>
      <c r="B131" s="54"/>
      <c r="C131" s="54"/>
      <c r="D131" s="54"/>
      <c r="E131" s="53"/>
      <c r="F131" s="53"/>
      <c r="G131" s="53"/>
      <c r="H131" s="53"/>
      <c r="I131" s="53"/>
      <c r="J131" s="53"/>
      <c r="K131" s="53"/>
      <c r="L131" s="53"/>
    </row>
    <row r="132" spans="1:12" ht="18" customHeight="1" x14ac:dyDescent="0.25">
      <c r="A132" s="1831" t="s">
        <v>1839</v>
      </c>
      <c r="B132" s="1831"/>
      <c r="C132" s="1831"/>
      <c r="D132" s="1831"/>
      <c r="E132" s="1831"/>
      <c r="F132" s="1831"/>
      <c r="G132" s="1831"/>
      <c r="H132" s="1831"/>
      <c r="I132" s="1831"/>
      <c r="J132" s="1831"/>
      <c r="K132" s="1831"/>
      <c r="L132" s="1831"/>
    </row>
    <row r="133" spans="1:12" x14ac:dyDescent="0.25">
      <c r="A133" s="53"/>
      <c r="B133" s="53"/>
      <c r="C133" s="53"/>
      <c r="D133" s="53"/>
      <c r="E133" s="54"/>
      <c r="F133" s="53"/>
      <c r="G133" s="53"/>
      <c r="H133" s="53"/>
      <c r="I133" s="53"/>
      <c r="J133" s="53"/>
      <c r="K133" s="53"/>
      <c r="L133" s="53"/>
    </row>
    <row r="134" spans="1:12" ht="16.5" customHeight="1" x14ac:dyDescent="0.25">
      <c r="A134" s="1877" t="s">
        <v>265</v>
      </c>
      <c r="B134" s="1877"/>
      <c r="C134" s="1877"/>
      <c r="D134" s="53"/>
      <c r="E134" s="54"/>
      <c r="F134" s="53"/>
      <c r="G134" s="53"/>
      <c r="H134" s="53"/>
      <c r="I134" s="53"/>
      <c r="J134" s="53"/>
      <c r="K134" s="53"/>
      <c r="L134" s="53"/>
    </row>
    <row r="135" spans="1:12" x14ac:dyDescent="0.25">
      <c r="A135" s="53"/>
      <c r="B135" s="54"/>
      <c r="C135" s="54"/>
      <c r="D135" s="54"/>
      <c r="E135" s="53"/>
      <c r="F135" s="53"/>
      <c r="G135" s="53"/>
      <c r="H135" s="53"/>
      <c r="I135" s="53"/>
      <c r="J135" s="53"/>
      <c r="K135" s="53"/>
      <c r="L135" s="53"/>
    </row>
    <row r="136" spans="1:12" x14ac:dyDescent="0.25">
      <c r="A136" s="53"/>
      <c r="B136" s="1460" t="s">
        <v>1842</v>
      </c>
      <c r="C136" s="1461"/>
      <c r="D136" s="1461"/>
      <c r="E136" s="1461"/>
      <c r="F136" s="1461"/>
      <c r="G136" s="1461"/>
      <c r="H136" s="1462"/>
      <c r="I136" s="53"/>
      <c r="J136" s="53"/>
      <c r="K136" s="53"/>
      <c r="L136" s="53"/>
    </row>
    <row r="137" spans="1:12" x14ac:dyDescent="0.25">
      <c r="A137" s="53"/>
      <c r="B137" s="1894" t="s">
        <v>2237</v>
      </c>
      <c r="C137" s="1593"/>
      <c r="D137" s="1593"/>
      <c r="E137" s="1593"/>
      <c r="F137" s="1593"/>
      <c r="G137" s="1593"/>
      <c r="H137" s="1895"/>
      <c r="I137" s="53"/>
      <c r="J137" s="53"/>
      <c r="K137" s="53"/>
      <c r="L137" s="53"/>
    </row>
    <row r="138" spans="1:12" x14ac:dyDescent="0.25">
      <c r="A138" s="53"/>
      <c r="B138" s="1894" t="s">
        <v>2236</v>
      </c>
      <c r="C138" s="1593"/>
      <c r="D138" s="1593"/>
      <c r="E138" s="1593"/>
      <c r="F138" s="1593"/>
      <c r="G138" s="1593"/>
      <c r="H138" s="1895"/>
      <c r="I138" s="53"/>
      <c r="J138" s="53"/>
      <c r="K138" s="53"/>
      <c r="L138" s="53"/>
    </row>
    <row r="139" spans="1:12" x14ac:dyDescent="0.25">
      <c r="A139" s="53"/>
      <c r="B139" s="1894" t="s">
        <v>2238</v>
      </c>
      <c r="C139" s="1593"/>
      <c r="D139" s="1593"/>
      <c r="E139" s="1593"/>
      <c r="F139" s="1593"/>
      <c r="G139" s="1593"/>
      <c r="H139" s="1895"/>
      <c r="I139" s="53"/>
      <c r="J139" s="53"/>
      <c r="K139" s="53"/>
      <c r="L139" s="53"/>
    </row>
    <row r="140" spans="1:12" x14ac:dyDescent="0.25">
      <c r="A140" s="53"/>
      <c r="B140" s="1894" t="s">
        <v>1841</v>
      </c>
      <c r="C140" s="1593"/>
      <c r="D140" s="1593"/>
      <c r="E140" s="1593"/>
      <c r="F140" s="1593"/>
      <c r="G140" s="1593"/>
      <c r="H140" s="1895"/>
      <c r="I140" s="53"/>
      <c r="J140" s="53"/>
      <c r="K140" s="53"/>
      <c r="L140" s="53"/>
    </row>
    <row r="141" spans="1:12" x14ac:dyDescent="0.25">
      <c r="A141" s="53"/>
      <c r="B141" s="1894" t="s">
        <v>1840</v>
      </c>
      <c r="C141" s="1593"/>
      <c r="D141" s="1593"/>
      <c r="E141" s="1593"/>
      <c r="F141" s="1593"/>
      <c r="G141" s="1593"/>
      <c r="H141" s="1895"/>
      <c r="I141" s="53"/>
      <c r="J141" s="53"/>
      <c r="K141" s="53"/>
      <c r="L141" s="53"/>
    </row>
    <row r="142" spans="1:12" ht="15" customHeight="1" x14ac:dyDescent="0.25">
      <c r="A142" s="53"/>
      <c r="B142" s="1896" t="s">
        <v>2240</v>
      </c>
      <c r="C142" s="1897"/>
      <c r="D142" s="1897"/>
      <c r="E142" s="1897"/>
      <c r="F142" s="1897"/>
      <c r="G142" s="1897"/>
      <c r="H142" s="1898"/>
      <c r="I142" s="53"/>
      <c r="J142" s="53"/>
      <c r="K142" s="53"/>
      <c r="L142" s="53"/>
    </row>
    <row r="143" spans="1:12" ht="16.5" customHeight="1" x14ac:dyDescent="0.25">
      <c r="A143" s="53"/>
      <c r="B143" s="54"/>
      <c r="C143" s="54"/>
      <c r="D143" s="54"/>
      <c r="E143" s="53"/>
      <c r="F143" s="53"/>
      <c r="G143" s="53"/>
      <c r="H143" s="53"/>
      <c r="I143" s="53"/>
      <c r="J143" s="53"/>
      <c r="K143" s="53"/>
      <c r="L143" s="53"/>
    </row>
    <row r="144" spans="1:12" ht="16.5" customHeight="1" x14ac:dyDescent="0.25">
      <c r="A144" s="53"/>
      <c r="B144" s="634" t="s">
        <v>1843</v>
      </c>
      <c r="C144" s="54"/>
      <c r="D144" s="54"/>
      <c r="E144" s="53"/>
      <c r="F144" s="53"/>
      <c r="G144" s="53"/>
      <c r="H144" s="53"/>
      <c r="I144" s="53"/>
      <c r="J144" s="53"/>
      <c r="K144" s="53"/>
      <c r="L144" s="53"/>
    </row>
    <row r="145" spans="1:15" ht="16.5" customHeight="1" x14ac:dyDescent="0.25">
      <c r="A145" s="53"/>
      <c r="B145" s="634" t="s">
        <v>1844</v>
      </c>
      <c r="C145" s="54"/>
      <c r="D145" s="54"/>
      <c r="E145" s="53"/>
      <c r="F145" s="53"/>
      <c r="G145" s="53"/>
      <c r="H145" s="53"/>
      <c r="I145" s="53"/>
      <c r="J145" s="53"/>
      <c r="K145" s="53"/>
      <c r="L145" s="53"/>
    </row>
    <row r="146" spans="1:15" ht="16.5" customHeight="1" x14ac:dyDescent="0.25">
      <c r="A146" s="53"/>
      <c r="B146" s="54"/>
      <c r="C146" s="54"/>
      <c r="D146" s="54"/>
      <c r="E146" s="53"/>
      <c r="F146" s="53"/>
      <c r="G146" s="53"/>
      <c r="H146" s="53"/>
      <c r="I146" s="53"/>
      <c r="J146" s="53"/>
      <c r="K146" s="53"/>
      <c r="L146" s="53"/>
    </row>
    <row r="147" spans="1:15" ht="16.5" customHeight="1" x14ac:dyDescent="0.25">
      <c r="A147" s="53"/>
      <c r="B147" s="1411" t="s">
        <v>2239</v>
      </c>
      <c r="C147" s="1411"/>
      <c r="D147" s="1411"/>
      <c r="E147" s="1411"/>
      <c r="F147" s="1411"/>
      <c r="G147" s="1411"/>
      <c r="H147" s="1411"/>
      <c r="I147" s="53"/>
      <c r="J147" s="53"/>
      <c r="K147" s="53"/>
      <c r="L147" s="53"/>
    </row>
    <row r="148" spans="1:15" ht="12" customHeight="1" x14ac:dyDescent="0.25">
      <c r="A148" s="53"/>
      <c r="B148" s="54"/>
      <c r="C148" s="54"/>
      <c r="D148" s="54"/>
      <c r="E148" s="53"/>
      <c r="F148" s="53"/>
      <c r="G148" s="53"/>
      <c r="H148" s="53"/>
      <c r="I148" s="53"/>
      <c r="J148" s="53"/>
      <c r="K148" s="53"/>
      <c r="L148" s="53"/>
    </row>
    <row r="149" spans="1:15" ht="33" customHeight="1" x14ac:dyDescent="0.25">
      <c r="A149" s="53"/>
      <c r="B149" s="443" t="s">
        <v>227</v>
      </c>
      <c r="C149" s="448" t="s">
        <v>301</v>
      </c>
      <c r="D149" s="448" t="s">
        <v>2226</v>
      </c>
      <c r="E149" s="1858" t="s">
        <v>2227</v>
      </c>
      <c r="F149" s="1858"/>
      <c r="G149" s="448" t="s">
        <v>2228</v>
      </c>
      <c r="H149" s="1145" t="s">
        <v>182</v>
      </c>
      <c r="I149" s="1858" t="s">
        <v>33</v>
      </c>
      <c r="J149" s="1889"/>
      <c r="K149" s="53"/>
      <c r="L149" s="53"/>
      <c r="M149" s="53"/>
    </row>
    <row r="150" spans="1:15" x14ac:dyDescent="0.25">
      <c r="A150" s="53"/>
      <c r="B150" s="1142"/>
      <c r="C150" s="1146"/>
      <c r="D150" s="1142" t="s">
        <v>129</v>
      </c>
      <c r="E150" s="879"/>
      <c r="F150" s="1146" t="s">
        <v>129</v>
      </c>
      <c r="G150" s="1146" t="s">
        <v>129</v>
      </c>
      <c r="H150" s="327" t="str">
        <f t="shared" ref="H150:H159" si="3">IF(OR(D150="Select",D150=""),"",IF(N150+O150=2,"Yes","No"))</f>
        <v/>
      </c>
      <c r="I150" s="1890"/>
      <c r="J150" s="1890"/>
      <c r="K150" s="53"/>
      <c r="L150" s="53"/>
      <c r="M150" s="53"/>
      <c r="N150" s="42">
        <f>IF(OR(D150="ULEF",D150="NAF",D150="salvaged/reused",D150="No UF and no PF resins"),1,IF(OR(E150="",F150="Select"),0,IF(F150="ppm",IF(E150&lt;=0.05,1,0),IF(E150&lt;=0.06,1,0))))</f>
        <v>0</v>
      </c>
      <c r="O150" s="42">
        <f>IF(OR(G150="no adhesive used",G150="no added-urea formaldehyde"),1,0)</f>
        <v>0</v>
      </c>
    </row>
    <row r="151" spans="1:15" x14ac:dyDescent="0.25">
      <c r="A151" s="53"/>
      <c r="B151" s="1142"/>
      <c r="C151" s="186"/>
      <c r="D151" s="1142" t="s">
        <v>129</v>
      </c>
      <c r="E151" s="186"/>
      <c r="F151" s="1146" t="s">
        <v>129</v>
      </c>
      <c r="G151" s="1146" t="s">
        <v>129</v>
      </c>
      <c r="H151" s="327" t="str">
        <f t="shared" si="3"/>
        <v/>
      </c>
      <c r="I151" s="1890"/>
      <c r="J151" s="1890"/>
      <c r="K151" s="53"/>
      <c r="L151" s="53"/>
      <c r="M151" s="53"/>
      <c r="N151" s="42">
        <f t="shared" ref="N151:N159" si="4">IF(OR(D151="ULEF",D151="NAF",D151="salvaged/reused",D151="No UF and no PF resins"),1,IF(OR(E151="",F151="Select"),0,IF(F151="ppm",IF(E151&lt;=0.05,1,0),IF(E151&lt;=0.06,1,0))))</f>
        <v>0</v>
      </c>
      <c r="O151" s="42">
        <f t="shared" ref="O151:O159" si="5">IF(OR(G151="no adhesive used",G151="no added-urea formaldehyde"),1,0)</f>
        <v>0</v>
      </c>
    </row>
    <row r="152" spans="1:15" x14ac:dyDescent="0.25">
      <c r="A152" s="53"/>
      <c r="B152" s="1142"/>
      <c r="C152" s="186"/>
      <c r="D152" s="1142" t="s">
        <v>129</v>
      </c>
      <c r="E152" s="186"/>
      <c r="F152" s="1146" t="s">
        <v>129</v>
      </c>
      <c r="G152" s="1146" t="s">
        <v>129</v>
      </c>
      <c r="H152" s="327" t="str">
        <f t="shared" si="3"/>
        <v/>
      </c>
      <c r="I152" s="1890"/>
      <c r="J152" s="1890"/>
      <c r="K152" s="53"/>
      <c r="L152" s="53"/>
      <c r="M152" s="53"/>
      <c r="N152" s="42">
        <f t="shared" si="4"/>
        <v>0</v>
      </c>
      <c r="O152" s="42">
        <f t="shared" si="5"/>
        <v>0</v>
      </c>
    </row>
    <row r="153" spans="1:15" x14ac:dyDescent="0.25">
      <c r="A153" s="53"/>
      <c r="B153" s="1142"/>
      <c r="C153" s="186"/>
      <c r="D153" s="1142" t="s">
        <v>129</v>
      </c>
      <c r="E153" s="186"/>
      <c r="F153" s="1146" t="s">
        <v>129</v>
      </c>
      <c r="G153" s="1146" t="s">
        <v>129</v>
      </c>
      <c r="H153" s="327" t="str">
        <f t="shared" si="3"/>
        <v/>
      </c>
      <c r="I153" s="1890"/>
      <c r="J153" s="1890"/>
      <c r="K153" s="53"/>
      <c r="L153" s="53"/>
      <c r="M153" s="53"/>
      <c r="N153" s="42">
        <f t="shared" si="4"/>
        <v>0</v>
      </c>
      <c r="O153" s="42">
        <f t="shared" si="5"/>
        <v>0</v>
      </c>
    </row>
    <row r="154" spans="1:15" x14ac:dyDescent="0.25">
      <c r="A154" s="53"/>
      <c r="B154" s="1142"/>
      <c r="C154" s="186"/>
      <c r="D154" s="1142" t="s">
        <v>129</v>
      </c>
      <c r="E154" s="186"/>
      <c r="F154" s="1146" t="s">
        <v>129</v>
      </c>
      <c r="G154" s="1146" t="s">
        <v>129</v>
      </c>
      <c r="H154" s="327" t="str">
        <f t="shared" si="3"/>
        <v/>
      </c>
      <c r="I154" s="1890"/>
      <c r="J154" s="1890"/>
      <c r="K154" s="53"/>
      <c r="L154" s="53"/>
      <c r="M154" s="53"/>
      <c r="N154" s="42">
        <f t="shared" si="4"/>
        <v>0</v>
      </c>
      <c r="O154" s="42">
        <f t="shared" si="5"/>
        <v>0</v>
      </c>
    </row>
    <row r="155" spans="1:15" x14ac:dyDescent="0.25">
      <c r="A155" s="53"/>
      <c r="B155" s="1142"/>
      <c r="C155" s="186"/>
      <c r="D155" s="1142" t="s">
        <v>129</v>
      </c>
      <c r="E155" s="186"/>
      <c r="F155" s="1146" t="s">
        <v>129</v>
      </c>
      <c r="G155" s="1146" t="s">
        <v>129</v>
      </c>
      <c r="H155" s="327" t="str">
        <f t="shared" si="3"/>
        <v/>
      </c>
      <c r="I155" s="1890"/>
      <c r="J155" s="1890"/>
      <c r="K155" s="53"/>
      <c r="L155" s="53"/>
      <c r="M155" s="53"/>
      <c r="N155" s="42">
        <f t="shared" si="4"/>
        <v>0</v>
      </c>
      <c r="O155" s="42">
        <f t="shared" si="5"/>
        <v>0</v>
      </c>
    </row>
    <row r="156" spans="1:15" x14ac:dyDescent="0.25">
      <c r="A156" s="53"/>
      <c r="B156" s="1142"/>
      <c r="C156" s="186"/>
      <c r="D156" s="1142" t="s">
        <v>129</v>
      </c>
      <c r="E156" s="186"/>
      <c r="F156" s="1146" t="s">
        <v>129</v>
      </c>
      <c r="G156" s="1146" t="s">
        <v>129</v>
      </c>
      <c r="H156" s="327" t="str">
        <f t="shared" si="3"/>
        <v/>
      </c>
      <c r="I156" s="1890"/>
      <c r="J156" s="1890"/>
      <c r="K156" s="53"/>
      <c r="L156" s="53"/>
      <c r="M156" s="53"/>
      <c r="N156" s="42">
        <f t="shared" si="4"/>
        <v>0</v>
      </c>
      <c r="O156" s="42">
        <f t="shared" si="5"/>
        <v>0</v>
      </c>
    </row>
    <row r="157" spans="1:15" x14ac:dyDescent="0.25">
      <c r="A157" s="53"/>
      <c r="B157" s="1142"/>
      <c r="C157" s="186"/>
      <c r="D157" s="1142" t="s">
        <v>129</v>
      </c>
      <c r="E157" s="186"/>
      <c r="F157" s="1146" t="s">
        <v>129</v>
      </c>
      <c r="G157" s="1146" t="s">
        <v>129</v>
      </c>
      <c r="H157" s="327" t="str">
        <f t="shared" si="3"/>
        <v/>
      </c>
      <c r="I157" s="1890"/>
      <c r="J157" s="1890"/>
      <c r="K157" s="53"/>
      <c r="L157" s="53"/>
      <c r="M157" s="53"/>
      <c r="N157" s="42">
        <f t="shared" si="4"/>
        <v>0</v>
      </c>
      <c r="O157" s="42">
        <f t="shared" si="5"/>
        <v>0</v>
      </c>
    </row>
    <row r="158" spans="1:15" x14ac:dyDescent="0.25">
      <c r="A158" s="53"/>
      <c r="B158" s="1142"/>
      <c r="C158" s="186"/>
      <c r="D158" s="1142" t="s">
        <v>129</v>
      </c>
      <c r="E158" s="186"/>
      <c r="F158" s="1146" t="s">
        <v>129</v>
      </c>
      <c r="G158" s="1146" t="s">
        <v>129</v>
      </c>
      <c r="H158" s="327" t="str">
        <f t="shared" si="3"/>
        <v/>
      </c>
      <c r="I158" s="1890"/>
      <c r="J158" s="1890"/>
      <c r="K158" s="53"/>
      <c r="L158" s="53"/>
      <c r="M158" s="53"/>
      <c r="N158" s="42">
        <f t="shared" si="4"/>
        <v>0</v>
      </c>
      <c r="O158" s="42">
        <f t="shared" si="5"/>
        <v>0</v>
      </c>
    </row>
    <row r="159" spans="1:15" x14ac:dyDescent="0.25">
      <c r="A159" s="53"/>
      <c r="B159" s="1142"/>
      <c r="C159" s="186"/>
      <c r="D159" s="1142" t="s">
        <v>129</v>
      </c>
      <c r="E159" s="186"/>
      <c r="F159" s="1146" t="s">
        <v>129</v>
      </c>
      <c r="G159" s="1146" t="s">
        <v>129</v>
      </c>
      <c r="H159" s="327" t="str">
        <f t="shared" si="3"/>
        <v/>
      </c>
      <c r="I159" s="1890"/>
      <c r="J159" s="1890"/>
      <c r="K159" s="53"/>
      <c r="L159" s="53"/>
      <c r="M159" s="53"/>
      <c r="N159" s="42">
        <f t="shared" si="4"/>
        <v>0</v>
      </c>
      <c r="O159" s="42">
        <f t="shared" si="5"/>
        <v>0</v>
      </c>
    </row>
    <row r="160" spans="1:15" ht="17.25" customHeight="1" x14ac:dyDescent="0.25">
      <c r="A160" s="53"/>
      <c r="B160" s="54"/>
      <c r="C160" s="54"/>
      <c r="D160" s="54"/>
      <c r="E160" s="54"/>
      <c r="F160" s="53"/>
      <c r="G160" s="53"/>
      <c r="H160" s="53"/>
      <c r="I160" s="53"/>
      <c r="J160" s="53"/>
      <c r="K160" s="53"/>
      <c r="L160" s="53"/>
    </row>
    <row r="161" spans="1:13" ht="18.75" customHeight="1" x14ac:dyDescent="0.25">
      <c r="A161" s="53"/>
      <c r="B161" s="1891" t="s">
        <v>2229</v>
      </c>
      <c r="C161" s="1892"/>
      <c r="D161" s="1893"/>
      <c r="E161" s="86" t="str">
        <f>IF(COUNTBLANK(H150:H159)=10,"",IF(COUNTIF(H150:H159,"No")=0,"Yes","No"))</f>
        <v/>
      </c>
      <c r="F161" s="53"/>
      <c r="G161" s="53"/>
      <c r="H161" s="53"/>
      <c r="I161" s="53"/>
      <c r="J161" s="53"/>
      <c r="K161" s="53"/>
      <c r="L161" s="53"/>
    </row>
    <row r="162" spans="1:13" ht="19.5" customHeight="1" x14ac:dyDescent="0.25">
      <c r="A162" s="53"/>
      <c r="B162" s="54"/>
      <c r="C162" s="54"/>
      <c r="D162" s="54"/>
      <c r="E162" s="53"/>
      <c r="F162" s="53"/>
      <c r="G162" s="53"/>
      <c r="H162" s="53"/>
      <c r="I162" s="53"/>
      <c r="J162" s="53"/>
      <c r="K162" s="53"/>
      <c r="L162" s="53"/>
    </row>
    <row r="163" spans="1:13" ht="16.5" customHeight="1" x14ac:dyDescent="0.25">
      <c r="A163" s="1877" t="s">
        <v>200</v>
      </c>
      <c r="B163" s="1877"/>
      <c r="C163" s="1877"/>
      <c r="D163" s="54"/>
      <c r="E163" s="54"/>
      <c r="F163" s="54"/>
      <c r="G163" s="54"/>
      <c r="H163" s="54"/>
      <c r="I163" s="54"/>
      <c r="J163" s="54"/>
      <c r="K163" s="54"/>
      <c r="L163" s="54"/>
    </row>
    <row r="164" spans="1:13" x14ac:dyDescent="0.25">
      <c r="A164" s="53"/>
      <c r="B164" s="54"/>
      <c r="C164" s="54"/>
      <c r="D164" s="54"/>
      <c r="E164" s="53"/>
      <c r="F164" s="53"/>
      <c r="G164" s="53"/>
      <c r="H164" s="53"/>
      <c r="I164" s="53"/>
      <c r="J164" s="53"/>
      <c r="K164" s="53"/>
      <c r="L164" s="53"/>
    </row>
    <row r="165" spans="1:13" ht="21" customHeight="1" x14ac:dyDescent="0.25">
      <c r="A165" s="53"/>
      <c r="B165" s="1856" t="s">
        <v>204</v>
      </c>
      <c r="C165" s="1857"/>
      <c r="D165" s="1857"/>
      <c r="E165" s="1857"/>
      <c r="F165" s="1857"/>
      <c r="G165" s="1145" t="s">
        <v>2101</v>
      </c>
      <c r="H165" s="1834" t="s">
        <v>2102</v>
      </c>
      <c r="I165" s="1834"/>
      <c r="J165" s="53"/>
      <c r="K165" s="53"/>
      <c r="L165" s="53"/>
    </row>
    <row r="166" spans="1:13" ht="30" customHeight="1" x14ac:dyDescent="0.25">
      <c r="A166" s="53"/>
      <c r="B166" s="1436" t="s">
        <v>2243</v>
      </c>
      <c r="C166" s="1437"/>
      <c r="D166" s="1437"/>
      <c r="E166" s="1437"/>
      <c r="F166" s="1437"/>
      <c r="G166" s="1142" t="s">
        <v>129</v>
      </c>
      <c r="H166" s="1737"/>
      <c r="I166" s="1738"/>
      <c r="J166" s="53"/>
      <c r="K166" s="53"/>
      <c r="L166" s="53"/>
      <c r="M166" s="42" t="str">
        <f>IF(OR(B166="/",B166="No evidence required at this submission stage"),"Yes",IF(G166="Submitted","Yes","No"))</f>
        <v>No</v>
      </c>
    </row>
    <row r="167" spans="1:13" ht="30" customHeight="1" x14ac:dyDescent="0.25">
      <c r="A167" s="53"/>
      <c r="B167" s="1436" t="s">
        <v>2244</v>
      </c>
      <c r="C167" s="1437"/>
      <c r="D167" s="1437"/>
      <c r="E167" s="1437"/>
      <c r="F167" s="1437"/>
      <c r="G167" s="1142" t="s">
        <v>129</v>
      </c>
      <c r="H167" s="1737"/>
      <c r="I167" s="1738"/>
      <c r="J167" s="53"/>
      <c r="K167" s="53"/>
      <c r="L167" s="53"/>
      <c r="M167" s="42" t="str">
        <f>IF(OR(B167="/",B167="No evidence required at this submission stage"),"Yes",IF(G167="Submitted","Yes","No"))</f>
        <v>No</v>
      </c>
    </row>
    <row r="168" spans="1:13" ht="19.5" customHeight="1" x14ac:dyDescent="0.25">
      <c r="A168" s="53"/>
      <c r="B168" s="54"/>
      <c r="C168" s="54"/>
      <c r="D168" s="54"/>
      <c r="E168" s="53"/>
      <c r="F168" s="53"/>
      <c r="G168" s="53"/>
      <c r="H168" s="53"/>
      <c r="I168" s="53"/>
      <c r="J168" s="53"/>
      <c r="K168" s="53"/>
      <c r="L168" s="53"/>
    </row>
    <row r="169" spans="1:13" ht="16.5" customHeight="1" x14ac:dyDescent="0.25">
      <c r="A169" s="1877" t="s">
        <v>25</v>
      </c>
      <c r="B169" s="1877"/>
      <c r="C169" s="1877"/>
      <c r="D169" s="54"/>
      <c r="E169" s="53"/>
      <c r="F169" s="53"/>
      <c r="G169" s="53"/>
      <c r="H169" s="53"/>
      <c r="I169" s="53"/>
      <c r="J169" s="53"/>
      <c r="K169" s="53"/>
      <c r="L169" s="53"/>
    </row>
    <row r="170" spans="1:13" ht="16.5" customHeight="1" x14ac:dyDescent="0.25">
      <c r="A170" s="53"/>
      <c r="B170" s="54"/>
      <c r="C170" s="54"/>
      <c r="D170" s="54"/>
      <c r="E170" s="53"/>
      <c r="F170" s="53"/>
      <c r="G170" s="53"/>
      <c r="H170" s="53"/>
      <c r="I170" s="53"/>
      <c r="J170" s="53"/>
      <c r="K170" s="53"/>
      <c r="L170" s="53"/>
    </row>
    <row r="171" spans="1:13" ht="18" customHeight="1" x14ac:dyDescent="0.25">
      <c r="A171" s="53"/>
      <c r="B171" s="271" t="s">
        <v>56</v>
      </c>
      <c r="C171" s="1193">
        <f>IF(E161="Yes",1,0)</f>
        <v>0</v>
      </c>
      <c r="D171" s="54"/>
      <c r="E171" s="53"/>
      <c r="F171" s="53"/>
      <c r="G171" s="53"/>
      <c r="H171" s="53"/>
      <c r="I171" s="53"/>
      <c r="J171" s="53"/>
      <c r="K171" s="53"/>
      <c r="L171" s="53"/>
    </row>
    <row r="172" spans="1:13" ht="18" customHeight="1" x14ac:dyDescent="0.25">
      <c r="A172" s="53"/>
      <c r="B172" s="272" t="s">
        <v>521</v>
      </c>
      <c r="C172" s="1193" t="str">
        <f>IF(AND(COUNTIF(M166:M167,"Yes")=2,C171&gt;0),"Yes","No")</f>
        <v>No</v>
      </c>
      <c r="D172" s="54"/>
      <c r="E172" s="53"/>
      <c r="F172" s="53"/>
      <c r="G172" s="53"/>
      <c r="H172" s="53"/>
      <c r="I172" s="53"/>
      <c r="J172" s="53"/>
      <c r="K172" s="53"/>
      <c r="L172" s="53"/>
    </row>
    <row r="173" spans="1:13" ht="16.5" customHeight="1" x14ac:dyDescent="0.25">
      <c r="A173" s="53"/>
      <c r="B173" s="54"/>
      <c r="C173" s="54"/>
      <c r="D173" s="54"/>
      <c r="E173" s="53"/>
      <c r="F173" s="53"/>
      <c r="G173" s="53"/>
      <c r="H173" s="53"/>
      <c r="I173" s="53"/>
      <c r="J173" s="53"/>
      <c r="K173" s="53"/>
      <c r="L173" s="53"/>
    </row>
    <row r="174" spans="1:13" ht="18.75" customHeight="1" x14ac:dyDescent="0.25">
      <c r="A174" s="1831" t="s">
        <v>2230</v>
      </c>
      <c r="B174" s="1831"/>
      <c r="C174" s="1831"/>
      <c r="D174" s="1831"/>
      <c r="E174" s="1831"/>
      <c r="F174" s="1831"/>
      <c r="G174" s="1831"/>
      <c r="H174" s="1831"/>
      <c r="I174" s="1831"/>
      <c r="J174" s="1831"/>
      <c r="K174" s="1831"/>
      <c r="L174" s="1831"/>
      <c r="M174" s="47"/>
    </row>
    <row r="175" spans="1:13" x14ac:dyDescent="0.25">
      <c r="A175" s="53"/>
      <c r="B175" s="53"/>
      <c r="C175" s="53"/>
      <c r="D175" s="53"/>
      <c r="E175" s="54"/>
      <c r="F175" s="53"/>
      <c r="G175" s="53"/>
      <c r="H175" s="53"/>
      <c r="I175" s="53"/>
      <c r="J175" s="53"/>
      <c r="K175" s="53"/>
      <c r="L175" s="53"/>
      <c r="M175" s="53"/>
    </row>
    <row r="176" spans="1:13" ht="16.5" customHeight="1" x14ac:dyDescent="0.25">
      <c r="A176" s="1877" t="s">
        <v>265</v>
      </c>
      <c r="B176" s="1877"/>
      <c r="C176" s="1877"/>
      <c r="D176" s="53"/>
      <c r="E176" s="54"/>
      <c r="F176" s="53"/>
      <c r="G176" s="53"/>
      <c r="H176" s="53"/>
      <c r="I176" s="53"/>
      <c r="J176" s="53"/>
      <c r="K176" s="53"/>
      <c r="L176" s="53"/>
      <c r="M176" s="53"/>
    </row>
    <row r="177" spans="1:13" ht="14.25" customHeight="1" x14ac:dyDescent="0.25">
      <c r="A177" s="53"/>
      <c r="B177" s="53"/>
      <c r="C177" s="53"/>
      <c r="D177" s="53"/>
      <c r="E177" s="54"/>
      <c r="F177" s="53"/>
      <c r="G177" s="53"/>
      <c r="H177" s="53"/>
      <c r="I177" s="53"/>
      <c r="J177" s="53"/>
      <c r="K177" s="53"/>
      <c r="L177" s="53"/>
      <c r="M177" s="53"/>
    </row>
    <row r="178" spans="1:13" x14ac:dyDescent="0.25">
      <c r="A178" s="53"/>
      <c r="B178" s="716" t="s">
        <v>2249</v>
      </c>
      <c r="C178" s="54"/>
      <c r="D178" s="54"/>
      <c r="E178" s="54"/>
      <c r="F178" s="53"/>
      <c r="G178" s="53"/>
      <c r="H178" s="53"/>
      <c r="I178" s="53"/>
      <c r="J178" s="53"/>
      <c r="K178" s="53"/>
      <c r="L178" s="53"/>
      <c r="M178" s="53"/>
    </row>
    <row r="179" spans="1:13" ht="18" customHeight="1" x14ac:dyDescent="0.25">
      <c r="A179" s="53"/>
      <c r="B179" s="54"/>
      <c r="C179" s="54"/>
      <c r="D179" s="54"/>
      <c r="E179" s="54"/>
      <c r="F179" s="53"/>
      <c r="G179" s="53"/>
      <c r="H179" s="53"/>
      <c r="I179" s="53"/>
      <c r="J179" s="53"/>
      <c r="K179" s="53"/>
      <c r="L179" s="53"/>
      <c r="M179" s="53"/>
    </row>
    <row r="180" spans="1:13" ht="15.75" customHeight="1" x14ac:dyDescent="0.25">
      <c r="A180" s="53"/>
      <c r="B180" s="634" t="s">
        <v>2231</v>
      </c>
      <c r="C180" s="54"/>
      <c r="D180" s="54"/>
      <c r="E180" s="54"/>
      <c r="F180" s="53"/>
      <c r="G180" s="53"/>
      <c r="H180" s="53"/>
      <c r="I180" s="53"/>
      <c r="J180" s="53"/>
      <c r="K180" s="53"/>
      <c r="L180" s="53"/>
      <c r="M180" s="53"/>
    </row>
    <row r="181" spans="1:13" x14ac:dyDescent="0.25">
      <c r="A181" s="53"/>
      <c r="B181" s="634"/>
      <c r="C181" s="54"/>
      <c r="D181" s="54"/>
      <c r="E181" s="54"/>
      <c r="F181" s="53"/>
      <c r="G181" s="53"/>
      <c r="H181" s="53"/>
      <c r="I181" s="53"/>
      <c r="J181" s="53"/>
      <c r="K181" s="53"/>
      <c r="L181" s="53"/>
      <c r="M181" s="53"/>
    </row>
    <row r="182" spans="1:13" ht="9.75" customHeight="1" x14ac:dyDescent="0.25">
      <c r="A182" s="53"/>
      <c r="B182" s="54"/>
      <c r="C182" s="54"/>
      <c r="D182" s="54"/>
      <c r="E182" s="54"/>
      <c r="F182" s="53"/>
      <c r="G182" s="53"/>
      <c r="H182" s="53"/>
      <c r="I182" s="53"/>
      <c r="J182" s="53"/>
      <c r="K182" s="53"/>
      <c r="L182" s="53"/>
      <c r="M182" s="53"/>
    </row>
    <row r="183" spans="1:13" ht="15" customHeight="1" x14ac:dyDescent="0.25">
      <c r="A183" s="53"/>
      <c r="B183" s="1411" t="s">
        <v>2232</v>
      </c>
      <c r="C183" s="1411"/>
      <c r="D183" s="1411"/>
      <c r="E183" s="1411"/>
      <c r="F183" s="1411"/>
      <c r="G183" s="1411"/>
      <c r="H183" s="53"/>
      <c r="I183" s="53"/>
      <c r="J183" s="53"/>
      <c r="K183" s="53"/>
      <c r="L183" s="53"/>
      <c r="M183" s="53"/>
    </row>
    <row r="184" spans="1:13" ht="12" customHeight="1" x14ac:dyDescent="0.25">
      <c r="A184" s="53"/>
      <c r="B184" s="54"/>
      <c r="C184" s="54"/>
      <c r="D184" s="54"/>
      <c r="E184" s="53"/>
      <c r="F184" s="53"/>
      <c r="G184" s="53"/>
      <c r="H184" s="53"/>
      <c r="I184" s="53"/>
      <c r="J184" s="53"/>
      <c r="K184" s="53"/>
      <c r="L184" s="53"/>
      <c r="M184" s="53"/>
    </row>
    <row r="185" spans="1:13" ht="27" customHeight="1" x14ac:dyDescent="0.25">
      <c r="A185" s="53"/>
      <c r="B185" s="443" t="s">
        <v>227</v>
      </c>
      <c r="C185" s="448" t="s">
        <v>301</v>
      </c>
      <c r="D185" s="448" t="s">
        <v>2219</v>
      </c>
      <c r="E185" s="448" t="s">
        <v>676</v>
      </c>
      <c r="F185" s="448" t="s">
        <v>228</v>
      </c>
      <c r="G185" s="1145" t="s">
        <v>182</v>
      </c>
      <c r="H185" s="1858" t="s">
        <v>33</v>
      </c>
      <c r="I185" s="1858"/>
      <c r="J185" s="1889"/>
      <c r="K185" s="53"/>
      <c r="L185" s="53"/>
      <c r="M185" s="53"/>
    </row>
    <row r="186" spans="1:13" x14ac:dyDescent="0.25">
      <c r="A186" s="53"/>
      <c r="B186" s="1142"/>
      <c r="C186" s="1146"/>
      <c r="D186" s="1142" t="s">
        <v>129</v>
      </c>
      <c r="E186" s="1146"/>
      <c r="F186" s="1146"/>
      <c r="G186" s="327" t="str">
        <f>IF(OR(D186="",D186="Select"),"",IF(OR(D186="Inherently non-emitting product",D186="Certified product"),"Yes",IF(AND(E186&lt;&gt;"",F186&lt;&gt;""),IF(E186&lt;F186,"Yes","No"),"No")))</f>
        <v/>
      </c>
      <c r="H186" s="1470"/>
      <c r="I186" s="1470"/>
      <c r="J186" s="1470"/>
      <c r="K186" s="53"/>
      <c r="L186" s="53"/>
      <c r="M186" s="53"/>
    </row>
    <row r="187" spans="1:13" x14ac:dyDescent="0.25">
      <c r="A187" s="53"/>
      <c r="B187" s="1142"/>
      <c r="C187" s="186"/>
      <c r="D187" s="1142" t="s">
        <v>129</v>
      </c>
      <c r="E187" s="1146"/>
      <c r="F187" s="1146"/>
      <c r="G187" s="327" t="str">
        <f t="shared" ref="G187:G195" si="6">IF(OR(D187="",D187="Select"),"",IF(OR(D187="Inherently non-emitting product",D187="Certified product"),"Yes",IF(AND(E187&lt;&gt;"",F187&lt;&gt;""),IF(E187&lt;F187,"Yes","No"),"No")))</f>
        <v/>
      </c>
      <c r="H187" s="1470"/>
      <c r="I187" s="1470"/>
      <c r="J187" s="1470"/>
      <c r="K187" s="53"/>
      <c r="L187" s="53"/>
      <c r="M187" s="53"/>
    </row>
    <row r="188" spans="1:13" x14ac:dyDescent="0.25">
      <c r="A188" s="53"/>
      <c r="B188" s="1142"/>
      <c r="C188" s="186"/>
      <c r="D188" s="1142" t="s">
        <v>129</v>
      </c>
      <c r="E188" s="1146"/>
      <c r="F188" s="1146"/>
      <c r="G188" s="327" t="str">
        <f t="shared" si="6"/>
        <v/>
      </c>
      <c r="H188" s="1470"/>
      <c r="I188" s="1470"/>
      <c r="J188" s="1470"/>
      <c r="K188" s="53"/>
      <c r="L188" s="53"/>
      <c r="M188" s="53"/>
    </row>
    <row r="189" spans="1:13" x14ac:dyDescent="0.25">
      <c r="A189" s="53"/>
      <c r="B189" s="1142"/>
      <c r="C189" s="186"/>
      <c r="D189" s="1142" t="s">
        <v>129</v>
      </c>
      <c r="E189" s="1146"/>
      <c r="F189" s="1146"/>
      <c r="G189" s="327" t="str">
        <f t="shared" si="6"/>
        <v/>
      </c>
      <c r="H189" s="1470"/>
      <c r="I189" s="1470"/>
      <c r="J189" s="1470"/>
      <c r="K189" s="53"/>
      <c r="L189" s="53"/>
      <c r="M189" s="53"/>
    </row>
    <row r="190" spans="1:13" x14ac:dyDescent="0.25">
      <c r="A190" s="53"/>
      <c r="B190" s="1142"/>
      <c r="C190" s="186"/>
      <c r="D190" s="1142" t="s">
        <v>129</v>
      </c>
      <c r="E190" s="1146"/>
      <c r="F190" s="1146"/>
      <c r="G190" s="327" t="str">
        <f t="shared" si="6"/>
        <v/>
      </c>
      <c r="H190" s="1470"/>
      <c r="I190" s="1470"/>
      <c r="J190" s="1470"/>
      <c r="K190" s="53"/>
      <c r="L190" s="53"/>
      <c r="M190" s="53"/>
    </row>
    <row r="191" spans="1:13" x14ac:dyDescent="0.25">
      <c r="A191" s="53"/>
      <c r="B191" s="1142"/>
      <c r="C191" s="186"/>
      <c r="D191" s="1142" t="s">
        <v>129</v>
      </c>
      <c r="E191" s="1146"/>
      <c r="F191" s="1146"/>
      <c r="G191" s="327" t="str">
        <f t="shared" si="6"/>
        <v/>
      </c>
      <c r="H191" s="1470"/>
      <c r="I191" s="1470"/>
      <c r="J191" s="1470"/>
      <c r="K191" s="53"/>
      <c r="L191" s="53"/>
      <c r="M191" s="53"/>
    </row>
    <row r="192" spans="1:13" x14ac:dyDescent="0.25">
      <c r="A192" s="53"/>
      <c r="B192" s="1142"/>
      <c r="C192" s="186"/>
      <c r="D192" s="1142" t="s">
        <v>129</v>
      </c>
      <c r="E192" s="1146"/>
      <c r="F192" s="1146"/>
      <c r="G192" s="327" t="str">
        <f t="shared" si="6"/>
        <v/>
      </c>
      <c r="H192" s="1470"/>
      <c r="I192" s="1470"/>
      <c r="J192" s="1470"/>
      <c r="K192" s="53"/>
      <c r="L192" s="53"/>
      <c r="M192" s="53"/>
    </row>
    <row r="193" spans="1:13" x14ac:dyDescent="0.25">
      <c r="A193" s="53"/>
      <c r="B193" s="1142"/>
      <c r="C193" s="186"/>
      <c r="D193" s="1142" t="s">
        <v>129</v>
      </c>
      <c r="E193" s="186"/>
      <c r="F193" s="186"/>
      <c r="G193" s="327" t="str">
        <f t="shared" si="6"/>
        <v/>
      </c>
      <c r="H193" s="1470"/>
      <c r="I193" s="1470"/>
      <c r="J193" s="1470"/>
      <c r="K193" s="53"/>
      <c r="L193" s="53"/>
      <c r="M193" s="53"/>
    </row>
    <row r="194" spans="1:13" x14ac:dyDescent="0.25">
      <c r="A194" s="53"/>
      <c r="B194" s="1142"/>
      <c r="C194" s="186"/>
      <c r="D194" s="1142" t="s">
        <v>129</v>
      </c>
      <c r="E194" s="186"/>
      <c r="F194" s="186"/>
      <c r="G194" s="327" t="str">
        <f t="shared" si="6"/>
        <v/>
      </c>
      <c r="H194" s="1470"/>
      <c r="I194" s="1470"/>
      <c r="J194" s="1470"/>
      <c r="K194" s="53"/>
      <c r="L194" s="53"/>
      <c r="M194" s="53"/>
    </row>
    <row r="195" spans="1:13" x14ac:dyDescent="0.25">
      <c r="A195" s="53"/>
      <c r="B195" s="1142"/>
      <c r="C195" s="186"/>
      <c r="D195" s="1142" t="s">
        <v>129</v>
      </c>
      <c r="E195" s="186"/>
      <c r="F195" s="186"/>
      <c r="G195" s="327" t="str">
        <f t="shared" si="6"/>
        <v/>
      </c>
      <c r="H195" s="1470"/>
      <c r="I195" s="1470"/>
      <c r="J195" s="1470"/>
      <c r="K195" s="53"/>
      <c r="L195" s="53"/>
      <c r="M195" s="53"/>
    </row>
    <row r="196" spans="1:13" ht="18" customHeight="1" x14ac:dyDescent="0.25">
      <c r="A196" s="53"/>
      <c r="B196" s="54"/>
      <c r="C196" s="54"/>
      <c r="D196" s="54"/>
      <c r="E196" s="54"/>
      <c r="F196" s="53"/>
      <c r="G196" s="53"/>
      <c r="H196" s="53"/>
      <c r="I196" s="53"/>
      <c r="J196" s="53"/>
      <c r="K196" s="53"/>
      <c r="L196" s="53"/>
      <c r="M196" s="53"/>
    </row>
    <row r="197" spans="1:13" ht="19.5" customHeight="1" x14ac:dyDescent="0.25">
      <c r="A197" s="53"/>
      <c r="B197" s="1891" t="s">
        <v>2233</v>
      </c>
      <c r="C197" s="1892"/>
      <c r="D197" s="1893"/>
      <c r="E197" s="86" t="str">
        <f>IF(COUNTBLANK(G186:G195)=10,"",IF(COUNTIF(G186:G195,"No")=0,"Yes","No"))</f>
        <v/>
      </c>
      <c r="F197" s="53"/>
      <c r="G197" s="53"/>
      <c r="H197" s="53"/>
      <c r="I197" s="53"/>
      <c r="J197" s="53"/>
      <c r="K197" s="53"/>
      <c r="L197" s="53"/>
      <c r="M197" s="53"/>
    </row>
    <row r="198" spans="1:13" ht="18.75" customHeight="1" x14ac:dyDescent="0.25">
      <c r="A198" s="53"/>
      <c r="B198" s="54"/>
      <c r="C198" s="54"/>
      <c r="D198" s="54"/>
      <c r="E198" s="53"/>
      <c r="F198" s="53"/>
      <c r="G198" s="53"/>
      <c r="H198" s="53"/>
      <c r="I198" s="53"/>
      <c r="J198" s="53"/>
      <c r="K198" s="53"/>
      <c r="L198" s="53"/>
      <c r="M198" s="53"/>
    </row>
    <row r="199" spans="1:13" ht="16.5" customHeight="1" x14ac:dyDescent="0.25">
      <c r="A199" s="1877" t="s">
        <v>200</v>
      </c>
      <c r="B199" s="1877"/>
      <c r="C199" s="1877"/>
      <c r="D199" s="54"/>
      <c r="E199" s="54"/>
      <c r="F199" s="54"/>
      <c r="G199" s="54"/>
      <c r="H199" s="54"/>
      <c r="I199" s="54"/>
      <c r="J199" s="54"/>
      <c r="K199" s="54"/>
      <c r="L199" s="54"/>
      <c r="M199" s="53"/>
    </row>
    <row r="200" spans="1:13" x14ac:dyDescent="0.25">
      <c r="A200" s="53"/>
      <c r="B200" s="54"/>
      <c r="C200" s="54"/>
      <c r="D200" s="54"/>
      <c r="E200" s="53"/>
      <c r="F200" s="53"/>
      <c r="G200" s="53"/>
      <c r="H200" s="53"/>
      <c r="I200" s="53"/>
      <c r="J200" s="53"/>
      <c r="K200" s="53"/>
      <c r="L200" s="53"/>
      <c r="M200" s="53"/>
    </row>
    <row r="201" spans="1:13" ht="21" customHeight="1" x14ac:dyDescent="0.25">
      <c r="A201" s="53"/>
      <c r="B201" s="1856" t="s">
        <v>204</v>
      </c>
      <c r="C201" s="1857"/>
      <c r="D201" s="1857"/>
      <c r="E201" s="1857"/>
      <c r="F201" s="1857"/>
      <c r="G201" s="1145" t="s">
        <v>2101</v>
      </c>
      <c r="H201" s="1834" t="s">
        <v>2102</v>
      </c>
      <c r="I201" s="1834"/>
      <c r="J201" s="53"/>
      <c r="K201" s="53"/>
      <c r="L201" s="53"/>
      <c r="M201" s="53"/>
    </row>
    <row r="202" spans="1:13" ht="30" customHeight="1" x14ac:dyDescent="0.25">
      <c r="A202" s="53"/>
      <c r="B202" s="1899" t="s">
        <v>2241</v>
      </c>
      <c r="C202" s="1900"/>
      <c r="D202" s="1900"/>
      <c r="E202" s="1900"/>
      <c r="F202" s="1900"/>
      <c r="G202" s="1142" t="s">
        <v>129</v>
      </c>
      <c r="H202" s="1737"/>
      <c r="I202" s="1738"/>
      <c r="J202" s="53"/>
      <c r="K202" s="53"/>
      <c r="L202" s="53"/>
      <c r="M202" s="42" t="str">
        <f>IF(OR(B202="/",B202="No evidence required at this submission stage"),"Yes",IF(G202="Submitted","Yes","No"))</f>
        <v>No</v>
      </c>
    </row>
    <row r="203" spans="1:13" ht="30" customHeight="1" x14ac:dyDescent="0.25">
      <c r="A203" s="53"/>
      <c r="B203" s="1899" t="s">
        <v>2242</v>
      </c>
      <c r="C203" s="1900"/>
      <c r="D203" s="1900"/>
      <c r="E203" s="1900"/>
      <c r="F203" s="1900"/>
      <c r="G203" s="1142" t="s">
        <v>129</v>
      </c>
      <c r="H203" s="1737"/>
      <c r="I203" s="1738"/>
      <c r="J203" s="53"/>
      <c r="K203" s="53"/>
      <c r="L203" s="53"/>
      <c r="M203" s="42" t="str">
        <f>IF(OR(B203="/",B203="No evidence required at this submission stage"),"Yes",IF(G203="Submitted","Yes","No"))</f>
        <v>No</v>
      </c>
    </row>
    <row r="204" spans="1:13" ht="19.5" customHeight="1" x14ac:dyDescent="0.25">
      <c r="A204" s="53"/>
      <c r="B204" s="54"/>
      <c r="C204" s="54"/>
      <c r="D204" s="54"/>
      <c r="E204" s="53"/>
      <c r="F204" s="53"/>
      <c r="G204" s="53"/>
      <c r="H204" s="53"/>
      <c r="I204" s="53"/>
      <c r="J204" s="53"/>
      <c r="K204" s="53"/>
      <c r="L204" s="53"/>
      <c r="M204" s="53"/>
    </row>
    <row r="205" spans="1:13" ht="16.5" customHeight="1" x14ac:dyDescent="0.25">
      <c r="A205" s="1877" t="s">
        <v>25</v>
      </c>
      <c r="B205" s="1877"/>
      <c r="C205" s="1877"/>
      <c r="D205" s="54"/>
      <c r="E205" s="53"/>
      <c r="F205" s="53"/>
      <c r="G205" s="53"/>
      <c r="H205" s="53"/>
      <c r="I205" s="53"/>
      <c r="J205" s="53"/>
      <c r="K205" s="53"/>
      <c r="L205" s="53"/>
      <c r="M205" s="53"/>
    </row>
    <row r="206" spans="1:13" ht="16.5" customHeight="1" x14ac:dyDescent="0.25">
      <c r="A206" s="53"/>
      <c r="B206" s="54"/>
      <c r="C206" s="54"/>
      <c r="D206" s="54"/>
      <c r="E206" s="53"/>
      <c r="F206" s="53"/>
      <c r="G206" s="53"/>
      <c r="H206" s="53"/>
      <c r="I206" s="53"/>
      <c r="J206" s="53"/>
      <c r="K206" s="53"/>
      <c r="L206" s="53"/>
      <c r="M206" s="53"/>
    </row>
    <row r="207" spans="1:13" ht="18" customHeight="1" x14ac:dyDescent="0.25">
      <c r="A207" s="53"/>
      <c r="B207" s="271" t="s">
        <v>56</v>
      </c>
      <c r="C207" s="1193">
        <f>IF(E197="Yes",1,0)</f>
        <v>0</v>
      </c>
      <c r="D207" s="54"/>
      <c r="E207" s="53"/>
      <c r="F207" s="53"/>
      <c r="G207" s="53"/>
      <c r="H207" s="53"/>
      <c r="I207" s="53"/>
      <c r="J207" s="53"/>
      <c r="K207" s="53"/>
      <c r="L207" s="53"/>
      <c r="M207" s="53"/>
    </row>
    <row r="208" spans="1:13" ht="18" customHeight="1" x14ac:dyDescent="0.25">
      <c r="A208" s="53"/>
      <c r="B208" s="272" t="s">
        <v>521</v>
      </c>
      <c r="C208" s="1193" t="str">
        <f>IF(AND(COUNTIF(M202:M203,"Yes")=2,C207&gt;0),"Yes","No")</f>
        <v>No</v>
      </c>
      <c r="D208" s="54"/>
      <c r="E208" s="53"/>
      <c r="F208" s="53"/>
      <c r="G208" s="53"/>
      <c r="H208" s="53"/>
      <c r="I208" s="53"/>
      <c r="J208" s="53"/>
      <c r="K208" s="53"/>
      <c r="L208" s="53"/>
      <c r="M208" s="53"/>
    </row>
    <row r="209" spans="1:13" ht="21" customHeight="1" x14ac:dyDescent="0.25">
      <c r="A209" s="53"/>
      <c r="B209" s="54"/>
      <c r="C209" s="54"/>
      <c r="D209" s="54"/>
      <c r="E209" s="53"/>
      <c r="F209" s="53"/>
      <c r="G209" s="53"/>
      <c r="H209" s="53"/>
      <c r="I209" s="53"/>
      <c r="J209" s="53"/>
      <c r="K209" s="53"/>
      <c r="L209" s="53"/>
      <c r="M209" s="53"/>
    </row>
    <row r="210" spans="1:13" ht="15" hidden="1" customHeight="1" x14ac:dyDescent="0.25"/>
    <row r="211" spans="1:13" ht="15" hidden="1" customHeight="1" x14ac:dyDescent="0.25"/>
    <row r="212" spans="1:13" ht="15" hidden="1" customHeight="1" x14ac:dyDescent="0.25"/>
    <row r="213" spans="1:13" ht="15" hidden="1" customHeight="1" x14ac:dyDescent="0.25"/>
    <row r="214" spans="1:13" ht="15" hidden="1" customHeight="1" x14ac:dyDescent="0.25"/>
    <row r="215" spans="1:13" ht="15" hidden="1" customHeight="1" x14ac:dyDescent="0.25"/>
    <row r="216" spans="1:13" ht="15" hidden="1" customHeight="1" x14ac:dyDescent="0.25"/>
    <row r="217" spans="1:13" ht="15" hidden="1" customHeight="1" x14ac:dyDescent="0.25"/>
    <row r="218" spans="1:13" ht="15" hidden="1" customHeight="1" x14ac:dyDescent="0.25"/>
    <row r="219" spans="1:13" ht="15" hidden="1" customHeight="1" x14ac:dyDescent="0.25"/>
    <row r="220" spans="1:13" ht="15" hidden="1" customHeight="1" x14ac:dyDescent="0.25"/>
    <row r="221" spans="1:13" ht="15" hidden="1" customHeight="1" x14ac:dyDescent="0.25"/>
    <row r="222" spans="1:13" ht="15" hidden="1" customHeight="1" x14ac:dyDescent="0.25"/>
    <row r="223" spans="1:13" ht="15" hidden="1" customHeight="1" x14ac:dyDescent="0.25"/>
  </sheetData>
  <sheetProtection algorithmName="SHA-512" hashValue="FXHiwliAG48qOH9pnn1ww2grCcmAYFhY/45XObdBBnmb2ECNScGYOCgRQZfMCO7He49zNAp1vInpAeBxNx6JLg==" saltValue="wYWzo7BkQiugnjf2AfOb4g==" spinCount="100000" sheet="1" objects="1" scenarios="1"/>
  <dataConsolidate/>
  <mergeCells count="139">
    <mergeCell ref="A205:C205"/>
    <mergeCell ref="B136:H136"/>
    <mergeCell ref="B138:H138"/>
    <mergeCell ref="B139:H139"/>
    <mergeCell ref="B140:H140"/>
    <mergeCell ref="B142:H142"/>
    <mergeCell ref="B147:H147"/>
    <mergeCell ref="B137:H137"/>
    <mergeCell ref="B141:H141"/>
    <mergeCell ref="A199:C199"/>
    <mergeCell ref="B201:F201"/>
    <mergeCell ref="H201:I201"/>
    <mergeCell ref="B202:F202"/>
    <mergeCell ref="H202:I202"/>
    <mergeCell ref="B203:F203"/>
    <mergeCell ref="H203:I203"/>
    <mergeCell ref="H191:J191"/>
    <mergeCell ref="H192:J192"/>
    <mergeCell ref="H193:J193"/>
    <mergeCell ref="H194:J194"/>
    <mergeCell ref="H195:J195"/>
    <mergeCell ref="B197:D197"/>
    <mergeCell ref="H185:J185"/>
    <mergeCell ref="H186:J186"/>
    <mergeCell ref="H187:J187"/>
    <mergeCell ref="H188:J188"/>
    <mergeCell ref="H189:J189"/>
    <mergeCell ref="H190:J190"/>
    <mergeCell ref="B167:F167"/>
    <mergeCell ref="H167:I167"/>
    <mergeCell ref="A169:C169"/>
    <mergeCell ref="A174:L174"/>
    <mergeCell ref="A176:C176"/>
    <mergeCell ref="B183:G183"/>
    <mergeCell ref="B161:D161"/>
    <mergeCell ref="A163:C163"/>
    <mergeCell ref="B165:F165"/>
    <mergeCell ref="H165:I165"/>
    <mergeCell ref="B166:F166"/>
    <mergeCell ref="H166:I166"/>
    <mergeCell ref="I154:J154"/>
    <mergeCell ref="I155:J155"/>
    <mergeCell ref="I156:J156"/>
    <mergeCell ref="I157:J157"/>
    <mergeCell ref="I158:J158"/>
    <mergeCell ref="I159:J159"/>
    <mergeCell ref="E149:F149"/>
    <mergeCell ref="I149:J149"/>
    <mergeCell ref="I150:J150"/>
    <mergeCell ref="I151:J151"/>
    <mergeCell ref="I152:J152"/>
    <mergeCell ref="I153:J153"/>
    <mergeCell ref="B125:F125"/>
    <mergeCell ref="H125:I125"/>
    <mergeCell ref="A127:C127"/>
    <mergeCell ref="A132:L132"/>
    <mergeCell ref="A134:C134"/>
    <mergeCell ref="H117:J117"/>
    <mergeCell ref="B119:C119"/>
    <mergeCell ref="A121:C121"/>
    <mergeCell ref="B123:F123"/>
    <mergeCell ref="H123:I123"/>
    <mergeCell ref="B124:F124"/>
    <mergeCell ref="H124:I124"/>
    <mergeCell ref="H111:J111"/>
    <mergeCell ref="H112:J112"/>
    <mergeCell ref="H113:J113"/>
    <mergeCell ref="H114:J114"/>
    <mergeCell ref="H115:J115"/>
    <mergeCell ref="H116:J116"/>
    <mergeCell ref="A98:C98"/>
    <mergeCell ref="B105:G105"/>
    <mergeCell ref="H107:J107"/>
    <mergeCell ref="H108:J108"/>
    <mergeCell ref="H109:J109"/>
    <mergeCell ref="H110:J110"/>
    <mergeCell ref="B88:F88"/>
    <mergeCell ref="H88:I88"/>
    <mergeCell ref="B89:F89"/>
    <mergeCell ref="H89:I89"/>
    <mergeCell ref="A91:C91"/>
    <mergeCell ref="A96:L96"/>
    <mergeCell ref="H79:J79"/>
    <mergeCell ref="H80:J80"/>
    <mergeCell ref="H81:J81"/>
    <mergeCell ref="B83:C83"/>
    <mergeCell ref="A85:C85"/>
    <mergeCell ref="B87:F87"/>
    <mergeCell ref="H87:I87"/>
    <mergeCell ref="H73:J73"/>
    <mergeCell ref="H74:J74"/>
    <mergeCell ref="H75:J75"/>
    <mergeCell ref="H76:J76"/>
    <mergeCell ref="H77:J77"/>
    <mergeCell ref="H78:J78"/>
    <mergeCell ref="A56:C56"/>
    <mergeCell ref="A61:L61"/>
    <mergeCell ref="A63:C63"/>
    <mergeCell ref="B69:G69"/>
    <mergeCell ref="H71:J71"/>
    <mergeCell ref="H72:J72"/>
    <mergeCell ref="A50:C50"/>
    <mergeCell ref="B52:F52"/>
    <mergeCell ref="H52:I52"/>
    <mergeCell ref="B53:F53"/>
    <mergeCell ref="H53:I53"/>
    <mergeCell ref="B54:F54"/>
    <mergeCell ref="H54:I54"/>
    <mergeCell ref="H42:J42"/>
    <mergeCell ref="H43:J43"/>
    <mergeCell ref="H44:J44"/>
    <mergeCell ref="H45:J45"/>
    <mergeCell ref="H46:J46"/>
    <mergeCell ref="B48:C48"/>
    <mergeCell ref="H36:J36"/>
    <mergeCell ref="H37:J37"/>
    <mergeCell ref="H38:J38"/>
    <mergeCell ref="H39:J39"/>
    <mergeCell ref="H40:J40"/>
    <mergeCell ref="H41:J41"/>
    <mergeCell ref="A1:L1"/>
    <mergeCell ref="H2:J4"/>
    <mergeCell ref="A5:L7"/>
    <mergeCell ref="A9:L9"/>
    <mergeCell ref="B11:E11"/>
    <mergeCell ref="B12:E12"/>
    <mergeCell ref="A26:L26"/>
    <mergeCell ref="A28:C28"/>
    <mergeCell ref="B34:G34"/>
    <mergeCell ref="B21:K21"/>
    <mergeCell ref="B22:K22"/>
    <mergeCell ref="B23:K23"/>
    <mergeCell ref="B24:K24"/>
    <mergeCell ref="B13:E13"/>
    <mergeCell ref="B14:E14"/>
    <mergeCell ref="B15:E15"/>
    <mergeCell ref="B16:E16"/>
    <mergeCell ref="B17:E17"/>
    <mergeCell ref="A19:L19"/>
  </mergeCells>
  <conditionalFormatting sqref="G53:G54">
    <cfRule type="expression" dxfId="124" priority="29">
      <formula>$B53="/"</formula>
    </cfRule>
    <cfRule type="expression" dxfId="123" priority="30">
      <formula>$B53="No evidence required at this submission stage"</formula>
    </cfRule>
  </conditionalFormatting>
  <conditionalFormatting sqref="H53:I54">
    <cfRule type="expression" dxfId="122" priority="27">
      <formula>$B53="No evidence required at this submission stage"</formula>
    </cfRule>
    <cfRule type="expression" dxfId="121" priority="28">
      <formula>$B53="/"</formula>
    </cfRule>
  </conditionalFormatting>
  <conditionalFormatting sqref="G88:G89">
    <cfRule type="expression" dxfId="120" priority="22">
      <formula>$B88="/"</formula>
    </cfRule>
    <cfRule type="expression" dxfId="119" priority="23">
      <formula>$B88="No evidence required at this submission stage"</formula>
    </cfRule>
  </conditionalFormatting>
  <conditionalFormatting sqref="H88:I89">
    <cfRule type="expression" dxfId="118" priority="20">
      <formula>$B88="No evidence required at this submission stage"</formula>
    </cfRule>
    <cfRule type="expression" dxfId="117" priority="21">
      <formula>$B88="/"</formula>
    </cfRule>
  </conditionalFormatting>
  <conditionalFormatting sqref="G124:G125">
    <cfRule type="expression" dxfId="116" priority="18">
      <formula>$B124="/"</formula>
    </cfRule>
    <cfRule type="expression" dxfId="115" priority="19">
      <formula>$B124="No evidence required at this submission stage"</formula>
    </cfRule>
  </conditionalFormatting>
  <conditionalFormatting sqref="H124:I125">
    <cfRule type="expression" dxfId="114" priority="16">
      <formula>$B124="No evidence required at this submission stage"</formula>
    </cfRule>
    <cfRule type="expression" dxfId="113" priority="17">
      <formula>$B124="/"</formula>
    </cfRule>
  </conditionalFormatting>
  <conditionalFormatting sqref="G166:G167">
    <cfRule type="expression" dxfId="112" priority="14">
      <formula>$B166="/"</formula>
    </cfRule>
    <cfRule type="expression" dxfId="111" priority="15">
      <formula>$B166="No evidence required at this submission stage"</formula>
    </cfRule>
  </conditionalFormatting>
  <conditionalFormatting sqref="H166:I167">
    <cfRule type="expression" dxfId="110" priority="12">
      <formula>$B166="No evidence required at this submission stage"</formula>
    </cfRule>
    <cfRule type="expression" dxfId="109" priority="13">
      <formula>$B166="/"</formula>
    </cfRule>
  </conditionalFormatting>
  <conditionalFormatting sqref="D150:D159">
    <cfRule type="expression" dxfId="108" priority="11">
      <formula>$D150="Yes"</formula>
    </cfRule>
  </conditionalFormatting>
  <conditionalFormatting sqref="E150:F159">
    <cfRule type="expression" dxfId="107" priority="10">
      <formula>$D150&lt;&gt;"under concentration limit of 0.05 ppm"</formula>
    </cfRule>
  </conditionalFormatting>
  <conditionalFormatting sqref="G202:G203">
    <cfRule type="expression" dxfId="106" priority="8">
      <formula>$B202="/"</formula>
    </cfRule>
    <cfRule type="expression" dxfId="105" priority="9">
      <formula>$B202="No evidence required at this submission stage"</formula>
    </cfRule>
  </conditionalFormatting>
  <conditionalFormatting sqref="H202:I203">
    <cfRule type="expression" dxfId="104" priority="6">
      <formula>$B202="No evidence required at this submission stage"</formula>
    </cfRule>
    <cfRule type="expression" dxfId="103" priority="7">
      <formula>$B202="/"</formula>
    </cfRule>
  </conditionalFormatting>
  <conditionalFormatting sqref="E186:F195">
    <cfRule type="expression" dxfId="102" priority="5">
      <formula>$D186&lt;&gt;"Product with low-VOC content"</formula>
    </cfRule>
  </conditionalFormatting>
  <conditionalFormatting sqref="E37:F46">
    <cfRule type="expression" dxfId="101" priority="3">
      <formula>$D37&lt;&gt;"Product with low-VOC content"</formula>
    </cfRule>
  </conditionalFormatting>
  <conditionalFormatting sqref="E72:F81">
    <cfRule type="expression" dxfId="100" priority="2">
      <formula>$D72&lt;&gt;"Product with low-VOC content"</formula>
    </cfRule>
  </conditionalFormatting>
  <conditionalFormatting sqref="E108:F117">
    <cfRule type="expression" dxfId="99" priority="1">
      <formula>$D108&lt;&gt;"Product with low-VOC content"</formula>
    </cfRule>
  </conditionalFormatting>
  <dataValidations count="10">
    <dataValidation type="list" allowBlank="1" showInputMessage="1" showErrorMessage="1" sqref="D186:D195 D37:D46 D72:D81 D108:D117">
      <formula1>"Select,Certified product,Product with low-VOC content,Inherently non-emitting product,No"</formula1>
    </dataValidation>
    <dataValidation type="list" allowBlank="1" showInputMessage="1" showErrorMessage="1" sqref="D150:D159">
      <formula1>"Select,no UF and no PF resins, ULEF, NAF, under concentration limit of 0.05 ppm,salvaged/reused,No"</formula1>
    </dataValidation>
    <dataValidation allowBlank="1" showInputMessage="1" showErrorMessage="1" prompt="(only if product is considered as low formaldehyde because the formaldehyde content is lower than the concentration limit of 0.05 ppm)" sqref="E149:F149 E150:E159"/>
    <dataValidation type="list" allowBlank="1" showInputMessage="1" showErrorMessage="1" sqref="G53:G54 G88:G89 G124:G125 G166:G167 G202:G203">
      <formula1>"Select,Submitted,Not submitted"</formula1>
    </dataValidation>
    <dataValidation allowBlank="1" showInputMessage="1" showErrorMessage="1" prompt="Provide more details:_x000a_- Standard followed to measure formaldehyde content_x000a_- Type of adhseive used_x000a_- etc." sqref="I150:J159"/>
    <dataValidation type="list" allowBlank="1" showInputMessage="1" showErrorMessage="1" sqref="G150:G159">
      <formula1>"Select, no added-urea formaldehyde,adhesive with urea-formaldehyde,no adhesive used"</formula1>
    </dataValidation>
    <dataValidation type="list" allowBlank="1" showInputMessage="1" showErrorMessage="1" prompt="Select the unit for the formaldehyde content:_x000a_- ppm of formaldehyde_x000a_- or, mg/m2.h emission rate" sqref="F150:F159">
      <formula1>"Select,ppm,mg/m2.h"</formula1>
    </dataValidation>
    <dataValidation allowBlank="1" showInputMessage="1" showErrorMessage="1" prompt="Complete only if the product is not certified as low VOC._x000a_Use content limit value from any internationally or regionally recognised authorities (e.g. Singapore Green Label, California Air Resources Board, ISO, etc.)" sqref="F185:F195 F36:F46 F71:F81 F107:F117"/>
    <dataValidation allowBlank="1" showInputMessage="1" showErrorMessage="1" prompt="Complete only if the product is not certified as low VOC " sqref="E185:E195 E71:E81 E36:E46 E107:E117"/>
    <dataValidation allowBlank="1" showInputMessage="1" showErrorMessage="1" prompt="Certified as low VOC products by which internationally or regionally recognised authorities?_x000a_VOC content limit set by which internationally or regionally recognised authorities?" sqref="H37:H46 H72:H81 I149 H186:H195 H108:H117"/>
  </dataValidations>
  <hyperlinks>
    <hyperlink ref="K3" location="'H-2 Ventilation in wet areas'!E3" tooltip="H-2" display="H-2"/>
    <hyperlink ref="K4" location="'H-4 Daylighting'!E3" tooltip="H-4" display="H-4"/>
    <hyperlink ref="L3" location="'H&amp;C BPC'!D3" tooltip="BPC" display="BPC"/>
    <hyperlink ref="L2" location="'H-5 Acoustic Comfort'!E3" tooltip="H-5" display="H-5"/>
    <hyperlink ref="K2" location="'H-1 Fresh Air Supply'!B3" tooltip="H-1" display="H-1"/>
  </hyperlinks>
  <pageMargins left="0.7" right="0.7" top="0.75" bottom="0.75" header="0.3" footer="0.3"/>
  <pageSetup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943634"/>
  </sheetPr>
  <dimension ref="A1:V197"/>
  <sheetViews>
    <sheetView workbookViewId="0">
      <pane ySplit="8" topLeftCell="A9" activePane="bottomLeft" state="frozen"/>
      <selection pane="bottomLeft" activeCell="A9" sqref="A9:R9"/>
    </sheetView>
  </sheetViews>
  <sheetFormatPr defaultColWidth="0" defaultRowHeight="15" customHeight="1" zeroHeight="1" x14ac:dyDescent="0.25"/>
  <cols>
    <col min="1" max="1" width="3.7109375" style="42" customWidth="1"/>
    <col min="2" max="2" width="18.7109375" style="42" customWidth="1"/>
    <col min="3" max="3" width="12.7109375" style="42" customWidth="1"/>
    <col min="4" max="4" width="14.28515625" style="42" customWidth="1"/>
    <col min="5" max="5" width="13.85546875" style="42" customWidth="1"/>
    <col min="6" max="8" width="9" style="42" customWidth="1"/>
    <col min="9" max="9" width="11.28515625" style="42" customWidth="1"/>
    <col min="10" max="10" width="8.85546875" style="42" customWidth="1"/>
    <col min="11" max="13" width="8.7109375" style="42" customWidth="1"/>
    <col min="14" max="14" width="8.5703125" style="42" customWidth="1"/>
    <col min="15" max="15" width="8.140625" style="42" customWidth="1"/>
    <col min="16" max="16" width="11.140625" style="42" customWidth="1"/>
    <col min="17" max="17" width="10.42578125" style="42" customWidth="1"/>
    <col min="18" max="18" width="8.5703125" style="42" customWidth="1"/>
    <col min="19" max="16384" width="9.140625" style="42" hidden="1"/>
  </cols>
  <sheetData>
    <row r="1" spans="1:20" ht="23.25" x14ac:dyDescent="0.25">
      <c r="A1" s="1207" t="s">
        <v>137</v>
      </c>
      <c r="B1" s="1207"/>
      <c r="C1" s="1207"/>
      <c r="D1" s="1207"/>
      <c r="E1" s="1207"/>
      <c r="F1" s="1207"/>
      <c r="G1" s="1207"/>
      <c r="H1" s="1207"/>
      <c r="I1" s="1207"/>
      <c r="J1" s="1207"/>
      <c r="K1" s="1207"/>
      <c r="L1" s="1207"/>
      <c r="M1" s="1207"/>
      <c r="N1" s="1207"/>
      <c r="O1" s="1207"/>
      <c r="P1" s="1207"/>
      <c r="Q1" s="1207"/>
      <c r="R1" s="1207"/>
      <c r="S1" s="52"/>
      <c r="T1" s="52"/>
    </row>
    <row r="2" spans="1:20" ht="15" customHeight="1" x14ac:dyDescent="0.25">
      <c r="A2" s="53"/>
      <c r="B2" s="54"/>
      <c r="C2" s="54"/>
      <c r="D2" s="54"/>
      <c r="E2" s="54"/>
      <c r="F2" s="53"/>
      <c r="G2" s="53"/>
      <c r="H2" s="53"/>
      <c r="I2" s="312"/>
      <c r="J2" s="312"/>
      <c r="K2" s="312"/>
      <c r="L2" s="312"/>
      <c r="M2" s="1932" t="s">
        <v>1605</v>
      </c>
      <c r="N2" s="1932"/>
      <c r="O2" s="1932"/>
      <c r="P2" s="1932"/>
      <c r="Q2" s="822" t="s">
        <v>83</v>
      </c>
      <c r="R2" s="822" t="s">
        <v>806</v>
      </c>
    </row>
    <row r="3" spans="1:20" ht="15" customHeight="1" x14ac:dyDescent="0.25">
      <c r="A3" s="53"/>
      <c r="B3" s="54"/>
      <c r="C3" s="54"/>
      <c r="D3" s="54"/>
      <c r="E3" s="54"/>
      <c r="F3" s="53"/>
      <c r="G3" s="53"/>
      <c r="H3" s="53"/>
      <c r="I3" s="312"/>
      <c r="J3" s="312"/>
      <c r="K3" s="312"/>
      <c r="L3" s="312"/>
      <c r="M3" s="1932"/>
      <c r="N3" s="1932"/>
      <c r="O3" s="1932"/>
      <c r="P3" s="1932"/>
      <c r="Q3" s="822" t="s">
        <v>85</v>
      </c>
      <c r="R3" s="822" t="s">
        <v>79</v>
      </c>
    </row>
    <row r="4" spans="1:20" ht="15" customHeight="1" x14ac:dyDescent="0.25">
      <c r="A4" s="53"/>
      <c r="B4" s="54"/>
      <c r="C4" s="54"/>
      <c r="D4" s="54"/>
      <c r="E4" s="54"/>
      <c r="F4" s="53"/>
      <c r="G4" s="53"/>
      <c r="H4" s="53"/>
      <c r="I4" s="313"/>
      <c r="J4" s="313"/>
      <c r="K4" s="312"/>
      <c r="L4" s="312"/>
      <c r="M4" s="1933"/>
      <c r="N4" s="1933"/>
      <c r="O4" s="1933"/>
      <c r="P4" s="1933"/>
      <c r="Q4" s="822" t="s">
        <v>90</v>
      </c>
      <c r="R4" s="823"/>
    </row>
    <row r="5" spans="1:20" ht="21" customHeight="1" x14ac:dyDescent="0.25">
      <c r="A5" s="1417" t="s">
        <v>2420</v>
      </c>
      <c r="B5" s="1418"/>
      <c r="C5" s="1418"/>
      <c r="D5" s="1418"/>
      <c r="E5" s="1418"/>
      <c r="F5" s="1418"/>
      <c r="G5" s="1418"/>
      <c r="H5" s="1418"/>
      <c r="I5" s="1418"/>
      <c r="J5" s="1418"/>
      <c r="K5" s="1418"/>
      <c r="L5" s="1418"/>
      <c r="M5" s="1418"/>
      <c r="N5" s="1418"/>
      <c r="O5" s="1418"/>
      <c r="P5" s="1418"/>
      <c r="Q5" s="1418"/>
      <c r="R5" s="1418"/>
      <c r="S5" s="193"/>
      <c r="T5" s="194"/>
    </row>
    <row r="6" spans="1:20" ht="21" customHeight="1" x14ac:dyDescent="0.25">
      <c r="A6" s="1420"/>
      <c r="B6" s="1421"/>
      <c r="C6" s="1421"/>
      <c r="D6" s="1421"/>
      <c r="E6" s="1421"/>
      <c r="F6" s="1421"/>
      <c r="G6" s="1421"/>
      <c r="H6" s="1421"/>
      <c r="I6" s="1421"/>
      <c r="J6" s="1421"/>
      <c r="K6" s="1421"/>
      <c r="L6" s="1421"/>
      <c r="M6" s="1421"/>
      <c r="N6" s="1421"/>
      <c r="O6" s="1421"/>
      <c r="P6" s="1421"/>
      <c r="Q6" s="1421"/>
      <c r="R6" s="1421"/>
      <c r="S6" s="195"/>
      <c r="T6" s="196"/>
    </row>
    <row r="7" spans="1:20" ht="21" customHeight="1" x14ac:dyDescent="0.25">
      <c r="A7" s="1423"/>
      <c r="B7" s="1424"/>
      <c r="C7" s="1424"/>
      <c r="D7" s="1424"/>
      <c r="E7" s="1424"/>
      <c r="F7" s="1424"/>
      <c r="G7" s="1424"/>
      <c r="H7" s="1424"/>
      <c r="I7" s="1424"/>
      <c r="J7" s="1424"/>
      <c r="K7" s="1424"/>
      <c r="L7" s="1424"/>
      <c r="M7" s="1424"/>
      <c r="N7" s="1424"/>
      <c r="O7" s="1424"/>
      <c r="P7" s="1424"/>
      <c r="Q7" s="1424"/>
      <c r="R7" s="1424"/>
      <c r="S7" s="197"/>
      <c r="T7" s="198"/>
    </row>
    <row r="8" spans="1:20" ht="12" customHeight="1" x14ac:dyDescent="0.25">
      <c r="A8" s="53"/>
      <c r="B8" s="54"/>
      <c r="C8" s="54"/>
      <c r="D8" s="54"/>
      <c r="E8" s="54"/>
      <c r="F8" s="53"/>
      <c r="G8" s="53"/>
      <c r="H8" s="53"/>
      <c r="I8" s="53"/>
      <c r="J8" s="53"/>
      <c r="K8" s="53"/>
      <c r="L8" s="53"/>
      <c r="M8" s="53"/>
      <c r="N8" s="53"/>
      <c r="O8" s="53"/>
      <c r="P8" s="53"/>
      <c r="Q8" s="53"/>
      <c r="R8" s="53"/>
      <c r="S8" s="53"/>
      <c r="T8" s="53"/>
    </row>
    <row r="9" spans="1:20" ht="18" customHeight="1" x14ac:dyDescent="0.25">
      <c r="A9" s="1831" t="s">
        <v>191</v>
      </c>
      <c r="B9" s="1831"/>
      <c r="C9" s="1831"/>
      <c r="D9" s="1831"/>
      <c r="E9" s="1831"/>
      <c r="F9" s="1831"/>
      <c r="G9" s="1831"/>
      <c r="H9" s="1831"/>
      <c r="I9" s="1831"/>
      <c r="J9" s="1831"/>
      <c r="K9" s="1831"/>
      <c r="L9" s="1831"/>
      <c r="M9" s="1831"/>
      <c r="N9" s="1831"/>
      <c r="O9" s="1831"/>
      <c r="P9" s="1831"/>
      <c r="Q9" s="1831"/>
      <c r="R9" s="1831"/>
      <c r="S9" s="47"/>
      <c r="T9" s="47"/>
    </row>
    <row r="10" spans="1:20" x14ac:dyDescent="0.25">
      <c r="A10" s="53"/>
      <c r="B10" s="54"/>
      <c r="C10" s="54"/>
      <c r="D10" s="54"/>
      <c r="E10" s="54"/>
      <c r="F10" s="53"/>
      <c r="G10" s="53"/>
      <c r="H10" s="53"/>
      <c r="I10" s="53"/>
      <c r="J10" s="53"/>
      <c r="K10" s="53"/>
      <c r="L10" s="53"/>
      <c r="M10" s="53"/>
      <c r="N10" s="53"/>
      <c r="O10" s="53"/>
      <c r="P10" s="53"/>
      <c r="Q10" s="53"/>
      <c r="R10" s="53"/>
      <c r="S10" s="53"/>
      <c r="T10" s="53"/>
    </row>
    <row r="11" spans="1:20" ht="16.5" customHeight="1" x14ac:dyDescent="0.25">
      <c r="A11" s="53"/>
      <c r="B11" s="1662" t="s">
        <v>247</v>
      </c>
      <c r="C11" s="1662"/>
      <c r="D11" s="1662"/>
      <c r="E11" s="1661" t="s">
        <v>129</v>
      </c>
      <c r="F11" s="1661"/>
      <c r="G11" s="53"/>
      <c r="H11" s="53"/>
      <c r="I11" s="53"/>
      <c r="J11" s="53"/>
      <c r="K11" s="53"/>
      <c r="L11" s="53"/>
      <c r="M11" s="53"/>
      <c r="N11" s="53"/>
      <c r="O11" s="53"/>
      <c r="P11" s="53"/>
      <c r="Q11" s="53"/>
      <c r="R11" s="53"/>
      <c r="S11" s="53"/>
      <c r="T11" s="53"/>
    </row>
    <row r="12" spans="1:20" x14ac:dyDescent="0.25">
      <c r="A12" s="53"/>
      <c r="B12" s="54"/>
      <c r="C12" s="54"/>
      <c r="D12" s="54"/>
      <c r="E12" s="54"/>
      <c r="F12" s="53"/>
      <c r="G12" s="53"/>
      <c r="H12" s="53"/>
      <c r="I12" s="53"/>
      <c r="J12" s="53"/>
      <c r="K12" s="53"/>
      <c r="L12" s="53"/>
      <c r="M12" s="53"/>
      <c r="N12" s="53"/>
      <c r="O12" s="53"/>
      <c r="P12" s="53"/>
      <c r="Q12" s="53"/>
      <c r="R12" s="53"/>
      <c r="S12" s="53"/>
      <c r="T12" s="53"/>
    </row>
    <row r="13" spans="1:20" ht="21" customHeight="1" x14ac:dyDescent="0.25">
      <c r="A13" s="53"/>
      <c r="B13" s="1913" t="s">
        <v>207</v>
      </c>
      <c r="C13" s="1913"/>
      <c r="D13" s="1913"/>
      <c r="E13" s="1913"/>
      <c r="F13" s="1913"/>
      <c r="G13" s="1913"/>
      <c r="H13" s="1914"/>
      <c r="I13" s="1909" t="s">
        <v>157</v>
      </c>
      <c r="J13" s="1910"/>
      <c r="K13" s="1909" t="s">
        <v>56</v>
      </c>
      <c r="L13" s="1910"/>
      <c r="M13" s="1909" t="s">
        <v>521</v>
      </c>
      <c r="N13" s="1911"/>
      <c r="O13" s="53"/>
      <c r="P13" s="53"/>
      <c r="Q13" s="53"/>
      <c r="R13" s="53"/>
      <c r="S13" s="53"/>
      <c r="T13" s="53"/>
    </row>
    <row r="14" spans="1:20" ht="39" customHeight="1" x14ac:dyDescent="0.25">
      <c r="A14" s="53"/>
      <c r="B14" s="1931" t="s">
        <v>2116</v>
      </c>
      <c r="C14" s="1931"/>
      <c r="D14" s="1931"/>
      <c r="E14" s="1931"/>
      <c r="F14" s="1931"/>
      <c r="G14" s="1931"/>
      <c r="H14" s="1931"/>
      <c r="I14" s="1908">
        <v>3</v>
      </c>
      <c r="J14" s="1908"/>
      <c r="K14" s="1908">
        <f>IF(E11="Prescriptive Path",C93,0)</f>
        <v>0</v>
      </c>
      <c r="L14" s="1908"/>
      <c r="M14" s="1908" t="str">
        <f>IF(E11="Prescriptive Path",C94,"No")</f>
        <v>No</v>
      </c>
      <c r="N14" s="1908"/>
      <c r="O14" s="53"/>
      <c r="P14" s="53"/>
      <c r="Q14" s="53"/>
      <c r="R14" s="53"/>
      <c r="S14" s="53"/>
      <c r="T14" s="53"/>
    </row>
    <row r="15" spans="1:20" x14ac:dyDescent="0.25">
      <c r="A15" s="53"/>
      <c r="B15" s="54"/>
      <c r="C15" s="54"/>
      <c r="D15" s="54"/>
      <c r="E15" s="54"/>
      <c r="F15" s="53"/>
      <c r="G15" s="53"/>
      <c r="H15" s="53"/>
      <c r="I15" s="53"/>
      <c r="J15" s="53"/>
      <c r="K15" s="53"/>
      <c r="L15" s="53"/>
      <c r="M15" s="53"/>
      <c r="N15" s="53"/>
      <c r="O15" s="53"/>
      <c r="P15" s="53"/>
      <c r="Q15" s="53"/>
      <c r="R15" s="53"/>
      <c r="S15" s="53"/>
      <c r="T15" s="53"/>
    </row>
    <row r="16" spans="1:20" ht="21" customHeight="1" x14ac:dyDescent="0.25">
      <c r="A16" s="53"/>
      <c r="B16" s="1913" t="s">
        <v>206</v>
      </c>
      <c r="C16" s="1913"/>
      <c r="D16" s="1913"/>
      <c r="E16" s="1913"/>
      <c r="F16" s="1913"/>
      <c r="G16" s="1913"/>
      <c r="H16" s="1914"/>
      <c r="I16" s="1909" t="s">
        <v>157</v>
      </c>
      <c r="J16" s="1910"/>
      <c r="K16" s="1909" t="s">
        <v>56</v>
      </c>
      <c r="L16" s="1910"/>
      <c r="M16" s="1909" t="s">
        <v>521</v>
      </c>
      <c r="N16" s="1911"/>
      <c r="O16" s="53"/>
      <c r="P16" s="53"/>
      <c r="Q16" s="53"/>
      <c r="R16" s="53"/>
      <c r="S16" s="53"/>
      <c r="T16" s="53"/>
    </row>
    <row r="17" spans="1:20" ht="42" customHeight="1" x14ac:dyDescent="0.25">
      <c r="A17" s="53"/>
      <c r="B17" s="1931" t="s">
        <v>1972</v>
      </c>
      <c r="C17" s="1931" t="s">
        <v>133</v>
      </c>
      <c r="D17" s="1931" t="s">
        <v>133</v>
      </c>
      <c r="E17" s="1931" t="s">
        <v>133</v>
      </c>
      <c r="F17" s="1931">
        <v>3</v>
      </c>
      <c r="G17" s="1931"/>
      <c r="H17" s="1931"/>
      <c r="I17" s="1908">
        <v>3</v>
      </c>
      <c r="J17" s="1908"/>
      <c r="K17" s="1908">
        <f>IF(E11="Performance Path",C134,0)</f>
        <v>0</v>
      </c>
      <c r="L17" s="1908"/>
      <c r="M17" s="1908" t="str">
        <f>IF(E11="Prescriptive Path",C135,"No")</f>
        <v>No</v>
      </c>
      <c r="N17" s="1908"/>
      <c r="O17" s="53"/>
      <c r="P17" s="53"/>
      <c r="Q17" s="53"/>
      <c r="R17" s="53"/>
      <c r="S17" s="53"/>
      <c r="T17" s="53"/>
    </row>
    <row r="18" spans="1:20" ht="16.5" customHeight="1" x14ac:dyDescent="0.25">
      <c r="A18" s="53"/>
      <c r="B18" s="54"/>
      <c r="C18" s="54"/>
      <c r="D18" s="54"/>
      <c r="E18" s="54"/>
      <c r="F18" s="53"/>
      <c r="G18" s="53"/>
      <c r="H18" s="53"/>
      <c r="I18" s="53"/>
      <c r="J18" s="53"/>
      <c r="K18" s="53"/>
      <c r="L18" s="53"/>
      <c r="M18" s="53"/>
      <c r="N18" s="53"/>
      <c r="O18" s="53"/>
      <c r="P18" s="53"/>
      <c r="Q18" s="53"/>
      <c r="R18" s="53"/>
      <c r="S18" s="53"/>
      <c r="T18" s="53"/>
    </row>
    <row r="19" spans="1:20" ht="18" customHeight="1" x14ac:dyDescent="0.25">
      <c r="A19" s="1831" t="s">
        <v>1281</v>
      </c>
      <c r="B19" s="1831"/>
      <c r="C19" s="1831"/>
      <c r="D19" s="1831"/>
      <c r="E19" s="1831"/>
      <c r="F19" s="1831"/>
      <c r="G19" s="1831"/>
      <c r="H19" s="1831"/>
      <c r="I19" s="1831"/>
      <c r="J19" s="1831"/>
      <c r="K19" s="1831"/>
      <c r="L19" s="1831"/>
      <c r="M19" s="1831"/>
      <c r="N19" s="1831"/>
      <c r="O19" s="1831"/>
      <c r="P19" s="1831"/>
      <c r="Q19" s="1831"/>
      <c r="R19" s="1831"/>
      <c r="S19" s="56"/>
      <c r="T19" s="56"/>
    </row>
    <row r="20" spans="1:20" ht="16.5" customHeight="1" x14ac:dyDescent="0.25">
      <c r="A20" s="53"/>
      <c r="B20" s="54"/>
      <c r="C20" s="54"/>
      <c r="D20" s="54"/>
      <c r="E20" s="54"/>
      <c r="F20" s="53"/>
      <c r="G20" s="53"/>
      <c r="H20" s="53"/>
      <c r="I20" s="53"/>
      <c r="J20" s="53"/>
      <c r="K20" s="53"/>
      <c r="L20" s="53"/>
      <c r="M20" s="53"/>
      <c r="N20" s="53"/>
      <c r="O20" s="53"/>
      <c r="P20" s="53"/>
      <c r="Q20" s="53"/>
      <c r="R20" s="53"/>
      <c r="S20" s="53"/>
      <c r="T20" s="53"/>
    </row>
    <row r="21" spans="1:20" ht="15" customHeight="1" x14ac:dyDescent="0.25">
      <c r="A21" s="53"/>
      <c r="B21" s="1725" t="s">
        <v>1598</v>
      </c>
      <c r="C21" s="1726"/>
      <c r="D21" s="1726"/>
      <c r="E21" s="1726"/>
      <c r="F21" s="1726"/>
      <c r="G21" s="1726"/>
      <c r="H21" s="1726"/>
      <c r="I21" s="1727"/>
      <c r="J21" s="53"/>
      <c r="K21" s="53"/>
      <c r="L21" s="53"/>
      <c r="M21" s="53"/>
      <c r="N21" s="53"/>
      <c r="O21" s="53"/>
      <c r="P21" s="53"/>
      <c r="Q21" s="53"/>
      <c r="R21" s="53"/>
      <c r="S21" s="53"/>
      <c r="T21" s="53"/>
    </row>
    <row r="22" spans="1:20" ht="15" customHeight="1" x14ac:dyDescent="0.25">
      <c r="A22" s="53"/>
      <c r="B22" s="1719" t="s">
        <v>1601</v>
      </c>
      <c r="C22" s="1720"/>
      <c r="D22" s="1720"/>
      <c r="E22" s="1720"/>
      <c r="F22" s="1720"/>
      <c r="G22" s="1720"/>
      <c r="H22" s="1720"/>
      <c r="I22" s="1721"/>
      <c r="J22" s="53"/>
      <c r="K22" s="53"/>
      <c r="L22" s="53"/>
      <c r="M22" s="53"/>
      <c r="N22" s="53"/>
      <c r="O22" s="53"/>
      <c r="P22" s="53"/>
      <c r="Q22" s="53"/>
      <c r="R22" s="53"/>
      <c r="S22" s="53"/>
      <c r="T22" s="53"/>
    </row>
    <row r="23" spans="1:20" ht="15" customHeight="1" x14ac:dyDescent="0.25">
      <c r="A23" s="53"/>
      <c r="B23" s="1719" t="s">
        <v>1599</v>
      </c>
      <c r="C23" s="1720"/>
      <c r="D23" s="1720"/>
      <c r="E23" s="1720"/>
      <c r="F23" s="1720"/>
      <c r="G23" s="1720"/>
      <c r="H23" s="1720"/>
      <c r="I23" s="1721"/>
      <c r="J23" s="53"/>
      <c r="K23" s="53"/>
      <c r="L23" s="53"/>
      <c r="M23" s="53"/>
      <c r="N23" s="53"/>
      <c r="O23" s="53"/>
      <c r="P23" s="53"/>
      <c r="Q23" s="53"/>
      <c r="R23" s="53"/>
      <c r="S23" s="53"/>
      <c r="T23" s="53"/>
    </row>
    <row r="24" spans="1:20" ht="15" customHeight="1" x14ac:dyDescent="0.25">
      <c r="A24" s="53"/>
      <c r="B24" s="1722" t="s">
        <v>1600</v>
      </c>
      <c r="C24" s="1723"/>
      <c r="D24" s="1723"/>
      <c r="E24" s="1723"/>
      <c r="F24" s="1723"/>
      <c r="G24" s="1723"/>
      <c r="H24" s="1723"/>
      <c r="I24" s="1724"/>
      <c r="J24" s="53"/>
      <c r="K24" s="53"/>
      <c r="L24" s="53"/>
      <c r="M24" s="53"/>
      <c r="N24" s="53"/>
      <c r="O24" s="53"/>
      <c r="P24" s="53"/>
      <c r="Q24" s="53"/>
      <c r="R24" s="53"/>
      <c r="S24" s="53"/>
      <c r="T24" s="53"/>
    </row>
    <row r="25" spans="1:20" ht="16.5" customHeight="1" x14ac:dyDescent="0.25">
      <c r="A25" s="53"/>
      <c r="B25" s="54"/>
      <c r="C25" s="54"/>
      <c r="D25" s="54"/>
      <c r="E25" s="54"/>
      <c r="F25" s="53"/>
      <c r="G25" s="53"/>
      <c r="H25" s="53"/>
      <c r="I25" s="53"/>
      <c r="J25" s="53"/>
      <c r="K25" s="53"/>
      <c r="L25" s="53"/>
      <c r="M25" s="53"/>
      <c r="N25" s="53"/>
      <c r="O25" s="53"/>
      <c r="P25" s="53"/>
      <c r="Q25" s="53"/>
      <c r="R25" s="53"/>
      <c r="S25" s="53"/>
      <c r="T25" s="53"/>
    </row>
    <row r="26" spans="1:20" ht="18" customHeight="1" x14ac:dyDescent="0.25">
      <c r="A26" s="1831" t="s">
        <v>16</v>
      </c>
      <c r="B26" s="1831"/>
      <c r="C26" s="1831"/>
      <c r="D26" s="1831"/>
      <c r="E26" s="1831"/>
      <c r="F26" s="1831"/>
      <c r="G26" s="1831"/>
      <c r="H26" s="1831"/>
      <c r="I26" s="1831"/>
      <c r="J26" s="1831"/>
      <c r="K26" s="1831"/>
      <c r="L26" s="1831"/>
      <c r="M26" s="1831"/>
      <c r="N26" s="1831"/>
      <c r="O26" s="1831"/>
      <c r="P26" s="1831"/>
      <c r="Q26" s="1831"/>
      <c r="R26" s="1831"/>
      <c r="S26" s="56"/>
      <c r="T26" s="56"/>
    </row>
    <row r="27" spans="1:20" x14ac:dyDescent="0.25">
      <c r="A27" s="224"/>
      <c r="B27" s="224"/>
      <c r="C27" s="224"/>
      <c r="D27" s="224"/>
      <c r="E27" s="224"/>
      <c r="F27" s="213"/>
      <c r="G27" s="213"/>
      <c r="H27" s="213"/>
      <c r="I27" s="213"/>
      <c r="J27" s="213"/>
      <c r="K27" s="213"/>
      <c r="L27" s="213"/>
      <c r="M27" s="213"/>
      <c r="N27" s="213"/>
      <c r="O27" s="213"/>
      <c r="P27" s="213"/>
      <c r="Q27" s="213"/>
      <c r="R27" s="213"/>
      <c r="S27" s="213"/>
      <c r="T27" s="213"/>
    </row>
    <row r="28" spans="1:20" ht="16.5" customHeight="1" x14ac:dyDescent="0.25">
      <c r="A28" s="1877" t="s">
        <v>265</v>
      </c>
      <c r="B28" s="1877"/>
      <c r="C28" s="1877"/>
      <c r="D28" s="224"/>
      <c r="E28" s="224"/>
      <c r="F28" s="224"/>
      <c r="G28" s="224"/>
      <c r="H28" s="224"/>
      <c r="I28" s="224"/>
      <c r="J28" s="224"/>
      <c r="K28" s="224"/>
      <c r="L28" s="213"/>
      <c r="M28" s="213"/>
      <c r="N28" s="213"/>
      <c r="O28" s="213"/>
      <c r="P28" s="213"/>
      <c r="Q28" s="213"/>
      <c r="R28" s="213"/>
      <c r="S28" s="213"/>
      <c r="T28" s="213"/>
    </row>
    <row r="29" spans="1:20" x14ac:dyDescent="0.25">
      <c r="A29" s="224"/>
      <c r="B29" s="224"/>
      <c r="C29" s="224"/>
      <c r="D29" s="224"/>
      <c r="E29" s="224"/>
      <c r="F29" s="224"/>
      <c r="G29" s="224"/>
      <c r="H29" s="224"/>
      <c r="I29" s="224"/>
      <c r="J29" s="224"/>
      <c r="K29" s="224"/>
      <c r="L29" s="213"/>
      <c r="M29" s="213"/>
      <c r="N29" s="213"/>
      <c r="O29" s="213"/>
      <c r="P29" s="213"/>
      <c r="Q29" s="213"/>
      <c r="R29" s="213"/>
      <c r="S29" s="213"/>
      <c r="T29" s="213"/>
    </row>
    <row r="30" spans="1:20" x14ac:dyDescent="0.25">
      <c r="A30" s="224"/>
      <c r="B30" s="849" t="s">
        <v>2117</v>
      </c>
      <c r="C30" s="224"/>
      <c r="D30" s="224"/>
      <c r="E30" s="224"/>
      <c r="F30" s="224"/>
      <c r="G30" s="224"/>
      <c r="H30" s="224"/>
      <c r="I30" s="224"/>
      <c r="J30" s="224"/>
      <c r="K30" s="224"/>
      <c r="L30" s="213"/>
      <c r="M30" s="213"/>
      <c r="N30" s="213"/>
      <c r="O30" s="213"/>
      <c r="P30" s="213"/>
      <c r="Q30" s="213"/>
      <c r="R30" s="213"/>
      <c r="S30" s="213"/>
      <c r="T30" s="213"/>
    </row>
    <row r="31" spans="1:20" ht="18" customHeight="1" x14ac:dyDescent="0.25">
      <c r="A31" s="224"/>
      <c r="B31" s="224"/>
      <c r="C31" s="224"/>
      <c r="D31" s="224"/>
      <c r="E31" s="224"/>
      <c r="F31" s="224"/>
      <c r="G31" s="224"/>
      <c r="H31" s="224"/>
      <c r="I31" s="224"/>
      <c r="J31" s="224"/>
      <c r="K31" s="224"/>
      <c r="L31" s="213"/>
      <c r="M31" s="213"/>
      <c r="N31" s="213"/>
      <c r="O31" s="213"/>
      <c r="P31" s="213"/>
      <c r="Q31" s="213"/>
      <c r="R31" s="213"/>
      <c r="S31" s="213"/>
      <c r="T31" s="213"/>
    </row>
    <row r="32" spans="1:20" x14ac:dyDescent="0.25">
      <c r="A32" s="224"/>
      <c r="B32" s="843" t="s">
        <v>1593</v>
      </c>
      <c r="C32" s="224"/>
      <c r="D32" s="224"/>
      <c r="E32" s="224"/>
      <c r="F32" s="224"/>
      <c r="G32" s="224"/>
      <c r="H32" s="224"/>
      <c r="I32" s="224"/>
      <c r="J32" s="224"/>
      <c r="K32" s="224"/>
      <c r="L32" s="213"/>
      <c r="M32" s="213"/>
      <c r="N32" s="213"/>
      <c r="O32" s="213"/>
      <c r="P32" s="213"/>
      <c r="Q32" s="213"/>
      <c r="R32" s="213"/>
      <c r="S32" s="213"/>
      <c r="T32" s="213"/>
    </row>
    <row r="33" spans="1:20" x14ac:dyDescent="0.25">
      <c r="A33" s="224"/>
      <c r="B33" s="224"/>
      <c r="C33" s="224"/>
      <c r="D33" s="224"/>
      <c r="E33" s="224"/>
      <c r="F33" s="224"/>
      <c r="G33" s="224"/>
      <c r="H33" s="224"/>
      <c r="I33" s="445"/>
      <c r="J33" s="445"/>
      <c r="K33" s="445"/>
      <c r="L33" s="445"/>
      <c r="M33" s="445"/>
      <c r="N33" s="445"/>
      <c r="O33" s="445"/>
      <c r="P33" s="213"/>
      <c r="Q33" s="213"/>
      <c r="R33" s="213"/>
      <c r="S33" s="213"/>
      <c r="T33" s="213"/>
    </row>
    <row r="34" spans="1:20" ht="13.5" customHeight="1" x14ac:dyDescent="0.25">
      <c r="A34" s="224"/>
      <c r="B34" s="1942" t="s">
        <v>831</v>
      </c>
      <c r="C34" s="1942"/>
      <c r="D34" s="1942"/>
      <c r="E34" s="1942"/>
      <c r="F34" s="844"/>
      <c r="G34" s="1939" t="s">
        <v>832</v>
      </c>
      <c r="H34" s="1939"/>
      <c r="I34" s="1939"/>
      <c r="J34" s="1939"/>
      <c r="K34" s="1939"/>
      <c r="L34" s="1939"/>
      <c r="M34" s="1939"/>
      <c r="N34" s="1939"/>
      <c r="O34" s="1939"/>
      <c r="P34" s="1939"/>
      <c r="Q34" s="806"/>
      <c r="R34" s="213"/>
      <c r="S34" s="213"/>
      <c r="T34" s="213"/>
    </row>
    <row r="35" spans="1:20" ht="13.5" customHeight="1" x14ac:dyDescent="0.25">
      <c r="A35" s="224"/>
      <c r="B35" s="1942"/>
      <c r="C35" s="1942"/>
      <c r="D35" s="1942"/>
      <c r="E35" s="1942"/>
      <c r="F35" s="844"/>
      <c r="G35" s="1939"/>
      <c r="H35" s="1939"/>
      <c r="I35" s="1939"/>
      <c r="J35" s="1939"/>
      <c r="K35" s="1939"/>
      <c r="L35" s="1939"/>
      <c r="M35" s="1939"/>
      <c r="N35" s="1939"/>
      <c r="O35" s="1939"/>
      <c r="P35" s="1939"/>
      <c r="Q35" s="806"/>
      <c r="R35" s="213"/>
      <c r="S35" s="213"/>
      <c r="T35" s="213"/>
    </row>
    <row r="36" spans="1:20" ht="13.5" customHeight="1" x14ac:dyDescent="0.25">
      <c r="A36" s="224"/>
      <c r="B36" s="1942"/>
      <c r="C36" s="1942"/>
      <c r="D36" s="1942"/>
      <c r="E36" s="1942"/>
      <c r="F36" s="844"/>
      <c r="G36" s="1939"/>
      <c r="H36" s="1939"/>
      <c r="I36" s="1939"/>
      <c r="J36" s="1939"/>
      <c r="K36" s="1939"/>
      <c r="L36" s="1939"/>
      <c r="M36" s="1939"/>
      <c r="N36" s="1939"/>
      <c r="O36" s="1939"/>
      <c r="P36" s="1939"/>
      <c r="Q36" s="806"/>
      <c r="R36" s="213"/>
      <c r="S36" s="213"/>
      <c r="T36" s="213"/>
    </row>
    <row r="37" spans="1:20" ht="15" customHeight="1" x14ac:dyDescent="0.25">
      <c r="A37" s="224"/>
      <c r="B37" s="1942"/>
      <c r="C37" s="1942"/>
      <c r="D37" s="1942"/>
      <c r="E37" s="1942"/>
      <c r="F37" s="844"/>
      <c r="G37" s="1940" t="s">
        <v>1590</v>
      </c>
      <c r="H37" s="1940"/>
      <c r="I37" s="1940"/>
      <c r="J37" s="1940"/>
      <c r="K37" s="1940"/>
      <c r="L37" s="1940"/>
      <c r="M37" s="1940"/>
      <c r="N37" s="1940"/>
      <c r="O37" s="1940"/>
      <c r="P37" s="1940"/>
      <c r="Q37" s="807"/>
      <c r="R37" s="213"/>
      <c r="S37" s="213"/>
      <c r="T37" s="213"/>
    </row>
    <row r="38" spans="1:20" x14ac:dyDescent="0.25">
      <c r="A38" s="224"/>
      <c r="B38" s="1942"/>
      <c r="C38" s="1942"/>
      <c r="D38" s="1942"/>
      <c r="E38" s="1942"/>
      <c r="F38" s="844"/>
      <c r="G38" s="1940"/>
      <c r="H38" s="1940"/>
      <c r="I38" s="1940"/>
      <c r="J38" s="1940"/>
      <c r="K38" s="1940"/>
      <c r="L38" s="1940"/>
      <c r="M38" s="1940"/>
      <c r="N38" s="1940"/>
      <c r="O38" s="1940"/>
      <c r="P38" s="1940"/>
      <c r="Q38" s="807"/>
      <c r="R38" s="213"/>
      <c r="S38" s="213"/>
      <c r="T38" s="213"/>
    </row>
    <row r="39" spans="1:20" ht="15" customHeight="1" x14ac:dyDescent="0.25">
      <c r="A39" s="224"/>
      <c r="B39" s="1942"/>
      <c r="C39" s="1942"/>
      <c r="D39" s="1942"/>
      <c r="E39" s="1942"/>
      <c r="F39" s="224"/>
      <c r="G39" s="1939" t="s">
        <v>1592</v>
      </c>
      <c r="H39" s="1939"/>
      <c r="I39" s="1939"/>
      <c r="J39" s="1939"/>
      <c r="K39" s="1939"/>
      <c r="L39" s="1939"/>
      <c r="M39" s="1939"/>
      <c r="N39" s="1939"/>
      <c r="O39" s="1939"/>
      <c r="P39" s="1939"/>
      <c r="Q39" s="806"/>
      <c r="R39" s="213"/>
      <c r="S39" s="213"/>
      <c r="T39" s="213"/>
    </row>
    <row r="40" spans="1:20" x14ac:dyDescent="0.25">
      <c r="A40" s="224"/>
      <c r="B40" s="224"/>
      <c r="C40" s="224"/>
      <c r="D40" s="224"/>
      <c r="E40" s="224"/>
      <c r="F40" s="224"/>
      <c r="G40" s="1939"/>
      <c r="H40" s="1939"/>
      <c r="I40" s="1939"/>
      <c r="J40" s="1939"/>
      <c r="K40" s="1939"/>
      <c r="L40" s="1939"/>
      <c r="M40" s="1939"/>
      <c r="N40" s="1939"/>
      <c r="O40" s="1939"/>
      <c r="P40" s="1939"/>
      <c r="Q40" s="806"/>
      <c r="R40" s="213"/>
      <c r="S40" s="213"/>
      <c r="T40" s="213"/>
    </row>
    <row r="41" spans="1:20" x14ac:dyDescent="0.25">
      <c r="A41" s="224"/>
      <c r="B41" s="224"/>
      <c r="C41" s="224"/>
      <c r="D41" s="224"/>
      <c r="E41" s="224"/>
      <c r="F41" s="224"/>
      <c r="G41" s="1939"/>
      <c r="H41" s="1939"/>
      <c r="I41" s="1939"/>
      <c r="J41" s="1939"/>
      <c r="K41" s="1939"/>
      <c r="L41" s="1939"/>
      <c r="M41" s="1939"/>
      <c r="N41" s="1939"/>
      <c r="O41" s="1939"/>
      <c r="P41" s="1939"/>
      <c r="Q41" s="806"/>
      <c r="R41" s="213"/>
      <c r="S41" s="213"/>
      <c r="T41" s="213"/>
    </row>
    <row r="42" spans="1:20" x14ac:dyDescent="0.25">
      <c r="A42" s="224"/>
      <c r="B42" s="224"/>
      <c r="C42" s="224"/>
      <c r="D42" s="224"/>
      <c r="E42" s="224"/>
      <c r="F42" s="224"/>
      <c r="G42" s="1939"/>
      <c r="H42" s="1939"/>
      <c r="I42" s="1939"/>
      <c r="J42" s="1939"/>
      <c r="K42" s="1939"/>
      <c r="L42" s="1939"/>
      <c r="M42" s="1939"/>
      <c r="N42" s="1939"/>
      <c r="O42" s="1939"/>
      <c r="P42" s="1939"/>
      <c r="Q42" s="806"/>
      <c r="R42" s="213"/>
      <c r="S42" s="213"/>
      <c r="T42" s="213"/>
    </row>
    <row r="43" spans="1:20" x14ac:dyDescent="0.25">
      <c r="A43" s="224"/>
      <c r="B43" s="224"/>
      <c r="C43" s="224"/>
      <c r="D43" s="224"/>
      <c r="E43" s="224"/>
      <c r="F43" s="224"/>
      <c r="G43" s="224"/>
      <c r="H43" s="447"/>
      <c r="I43" s="447"/>
      <c r="J43" s="447"/>
      <c r="K43" s="447"/>
      <c r="L43" s="447"/>
      <c r="M43" s="213"/>
      <c r="N43" s="213"/>
      <c r="O43" s="213"/>
      <c r="P43" s="213"/>
      <c r="Q43" s="213"/>
      <c r="R43" s="213"/>
      <c r="S43" s="213"/>
      <c r="T43" s="213"/>
    </row>
    <row r="44" spans="1:20" x14ac:dyDescent="0.25">
      <c r="A44" s="224"/>
      <c r="B44" s="224"/>
      <c r="C44" s="224"/>
      <c r="D44" s="224"/>
      <c r="E44" s="224"/>
      <c r="F44" s="224"/>
      <c r="G44" s="224"/>
      <c r="H44" s="447"/>
      <c r="I44" s="447"/>
      <c r="J44" s="447"/>
      <c r="K44" s="447"/>
      <c r="L44" s="447"/>
      <c r="M44" s="213"/>
      <c r="N44" s="213"/>
      <c r="O44" s="213"/>
      <c r="P44" s="213"/>
      <c r="Q44" s="213"/>
      <c r="R44" s="213"/>
      <c r="S44" s="213"/>
      <c r="T44" s="213"/>
    </row>
    <row r="45" spans="1:20" x14ac:dyDescent="0.25">
      <c r="A45" s="224"/>
      <c r="B45" s="224"/>
      <c r="C45" s="224"/>
      <c r="D45" s="224"/>
      <c r="E45" s="224"/>
      <c r="F45" s="224"/>
      <c r="G45" s="224"/>
      <c r="H45" s="224"/>
      <c r="I45" s="224"/>
      <c r="J45" s="224"/>
      <c r="K45" s="224"/>
      <c r="L45" s="213"/>
      <c r="M45" s="213"/>
      <c r="N45" s="213"/>
      <c r="O45" s="213"/>
      <c r="P45" s="213"/>
      <c r="Q45" s="213"/>
      <c r="R45" s="213"/>
      <c r="S45" s="213"/>
      <c r="T45" s="213"/>
    </row>
    <row r="46" spans="1:20" ht="15" customHeight="1" x14ac:dyDescent="0.25">
      <c r="A46" s="224"/>
      <c r="B46" s="446"/>
      <c r="C46" s="446"/>
      <c r="D46" s="446"/>
      <c r="E46" s="446"/>
      <c r="F46" s="446"/>
      <c r="G46" s="445"/>
      <c r="H46" s="445"/>
      <c r="I46" s="445"/>
      <c r="J46" s="445"/>
      <c r="K46" s="445"/>
      <c r="L46" s="445"/>
      <c r="M46" s="445"/>
      <c r="N46" s="445"/>
      <c r="O46" s="445"/>
      <c r="P46" s="213"/>
      <c r="Q46" s="213"/>
      <c r="R46" s="213"/>
      <c r="S46" s="213"/>
      <c r="T46" s="213"/>
    </row>
    <row r="47" spans="1:20" x14ac:dyDescent="0.25">
      <c r="A47" s="224"/>
      <c r="B47" s="446"/>
      <c r="C47" s="446"/>
      <c r="D47" s="446"/>
      <c r="E47" s="446"/>
      <c r="F47" s="446"/>
      <c r="G47" s="445"/>
      <c r="H47" s="445"/>
      <c r="I47" s="224"/>
      <c r="J47" s="224"/>
      <c r="K47" s="224"/>
      <c r="L47" s="213"/>
      <c r="M47" s="213"/>
      <c r="N47" s="213"/>
      <c r="O47" s="213"/>
      <c r="P47" s="213"/>
      <c r="Q47" s="213"/>
      <c r="R47" s="213"/>
      <c r="S47" s="213"/>
      <c r="T47" s="213"/>
    </row>
    <row r="48" spans="1:20" x14ac:dyDescent="0.25">
      <c r="A48" s="224"/>
      <c r="B48" s="446"/>
      <c r="C48" s="446"/>
      <c r="D48" s="446"/>
      <c r="E48" s="446"/>
      <c r="F48" s="446"/>
      <c r="G48" s="445"/>
      <c r="H48" s="445"/>
      <c r="I48" s="224"/>
      <c r="J48" s="224"/>
      <c r="K48" s="224"/>
      <c r="L48" s="224"/>
      <c r="M48" s="224"/>
      <c r="N48" s="224"/>
      <c r="O48" s="224"/>
      <c r="P48" s="213"/>
      <c r="Q48" s="213"/>
      <c r="R48" s="213"/>
      <c r="S48" s="213"/>
      <c r="T48" s="213"/>
    </row>
    <row r="49" spans="1:20" x14ac:dyDescent="0.25">
      <c r="A49" s="224"/>
      <c r="B49" s="446"/>
      <c r="C49" s="446"/>
      <c r="D49" s="446"/>
      <c r="E49" s="446"/>
      <c r="F49" s="446"/>
      <c r="G49" s="445"/>
      <c r="H49" s="445"/>
      <c r="I49" s="224"/>
      <c r="J49" s="224"/>
      <c r="K49" s="224"/>
      <c r="L49" s="224"/>
      <c r="M49" s="224"/>
      <c r="N49" s="224"/>
      <c r="O49" s="224"/>
      <c r="P49" s="213"/>
      <c r="Q49" s="213"/>
      <c r="R49" s="213"/>
      <c r="S49" s="213"/>
      <c r="T49" s="213"/>
    </row>
    <row r="50" spans="1:20" x14ac:dyDescent="0.25">
      <c r="A50" s="224"/>
      <c r="B50" s="446"/>
      <c r="C50" s="446"/>
      <c r="D50" s="446"/>
      <c r="E50" s="446"/>
      <c r="F50" s="446"/>
      <c r="G50" s="445"/>
      <c r="H50" s="445"/>
      <c r="I50" s="224"/>
      <c r="J50" s="224"/>
      <c r="K50" s="224"/>
      <c r="L50" s="213"/>
      <c r="M50" s="213"/>
      <c r="N50" s="213"/>
      <c r="O50" s="213"/>
      <c r="P50" s="213"/>
      <c r="Q50" s="213"/>
      <c r="R50" s="213"/>
      <c r="S50" s="213"/>
      <c r="T50" s="213"/>
    </row>
    <row r="51" spans="1:20" x14ac:dyDescent="0.25">
      <c r="A51" s="224"/>
      <c r="B51" s="1938"/>
      <c r="C51" s="1938"/>
      <c r="D51" s="1938"/>
      <c r="E51" s="1938"/>
      <c r="F51" s="446"/>
      <c r="G51" s="445"/>
      <c r="H51" s="445"/>
      <c r="I51" s="224"/>
      <c r="J51" s="224"/>
      <c r="K51" s="224"/>
      <c r="L51" s="213"/>
      <c r="M51" s="213"/>
      <c r="N51" s="213"/>
      <c r="O51" s="213"/>
      <c r="P51" s="213"/>
      <c r="Q51" s="213"/>
      <c r="R51" s="213"/>
      <c r="S51" s="213"/>
      <c r="T51" s="213"/>
    </row>
    <row r="52" spans="1:20" x14ac:dyDescent="0.25">
      <c r="A52" s="224"/>
      <c r="B52" s="846"/>
      <c r="C52" s="846"/>
      <c r="D52" s="846"/>
      <c r="E52" s="846"/>
      <c r="F52" s="446"/>
      <c r="G52" s="445"/>
      <c r="H52" s="445"/>
      <c r="I52" s="224"/>
      <c r="J52" s="224"/>
      <c r="K52" s="224"/>
      <c r="L52" s="213"/>
      <c r="M52" s="213"/>
      <c r="N52" s="213"/>
      <c r="O52" s="213"/>
      <c r="P52" s="213"/>
      <c r="Q52" s="213"/>
      <c r="R52" s="213"/>
      <c r="S52" s="213"/>
      <c r="T52" s="213"/>
    </row>
    <row r="53" spans="1:20" x14ac:dyDescent="0.25">
      <c r="A53" s="224"/>
      <c r="B53" s="1938"/>
      <c r="C53" s="1938"/>
      <c r="D53" s="1938"/>
      <c r="E53" s="1938"/>
      <c r="F53" s="446"/>
      <c r="G53" s="445"/>
      <c r="H53" s="445"/>
      <c r="I53" s="224"/>
      <c r="J53" s="224"/>
      <c r="K53" s="224"/>
      <c r="L53" s="213"/>
      <c r="M53" s="213"/>
      <c r="N53" s="213"/>
      <c r="O53" s="213"/>
      <c r="P53" s="213"/>
      <c r="Q53" s="213"/>
      <c r="R53" s="213"/>
      <c r="S53" s="213"/>
      <c r="T53" s="213"/>
    </row>
    <row r="54" spans="1:20" x14ac:dyDescent="0.25">
      <c r="A54" s="224"/>
      <c r="B54" s="1941" t="s">
        <v>1591</v>
      </c>
      <c r="C54" s="1941"/>
      <c r="D54" s="1941"/>
      <c r="E54" s="1941"/>
      <c r="F54" s="446"/>
      <c r="G54" s="224"/>
      <c r="H54" s="224"/>
      <c r="I54" s="224"/>
      <c r="J54" s="224"/>
      <c r="K54" s="224"/>
      <c r="L54" s="213"/>
      <c r="M54" s="213"/>
      <c r="N54" s="213"/>
      <c r="O54" s="213"/>
      <c r="P54" s="213"/>
      <c r="Q54" s="213"/>
      <c r="R54" s="213"/>
      <c r="S54" s="213"/>
      <c r="T54" s="213"/>
    </row>
    <row r="55" spans="1:20" ht="50.1" customHeight="1" x14ac:dyDescent="0.25">
      <c r="A55" s="224"/>
      <c r="B55" s="446"/>
      <c r="C55" s="446"/>
      <c r="D55" s="446"/>
      <c r="E55" s="446"/>
      <c r="F55" s="446"/>
      <c r="G55" s="446"/>
      <c r="H55" s="446"/>
      <c r="I55" s="224"/>
      <c r="J55" s="224"/>
      <c r="K55" s="224"/>
      <c r="L55" s="213"/>
      <c r="M55" s="213"/>
      <c r="N55" s="213"/>
      <c r="O55" s="213"/>
      <c r="P55" s="213"/>
      <c r="Q55" s="213"/>
      <c r="R55" s="213"/>
      <c r="S55" s="213"/>
      <c r="T55" s="213"/>
    </row>
    <row r="56" spans="1:20" ht="15" customHeight="1" x14ac:dyDescent="0.25">
      <c r="A56" s="224"/>
      <c r="B56" s="447"/>
      <c r="C56" s="447"/>
      <c r="D56" s="447"/>
      <c r="E56" s="447"/>
      <c r="F56" s="447"/>
      <c r="G56" s="447"/>
      <c r="H56" s="447"/>
      <c r="I56" s="224"/>
      <c r="J56" s="224"/>
      <c r="K56" s="224"/>
      <c r="L56" s="213"/>
      <c r="M56" s="213"/>
      <c r="N56" s="213"/>
      <c r="O56" s="213"/>
      <c r="P56" s="213"/>
      <c r="Q56" s="213"/>
      <c r="R56" s="213"/>
      <c r="S56" s="213"/>
      <c r="T56" s="213"/>
    </row>
    <row r="57" spans="1:20" x14ac:dyDescent="0.25">
      <c r="A57" s="224"/>
      <c r="B57" s="447"/>
      <c r="C57" s="447"/>
      <c r="D57" s="447"/>
      <c r="E57" s="447"/>
      <c r="F57" s="447"/>
      <c r="G57" s="447"/>
      <c r="H57" s="447"/>
      <c r="I57" s="224"/>
      <c r="J57" s="224"/>
      <c r="K57" s="224"/>
      <c r="L57" s="213"/>
      <c r="M57" s="213"/>
      <c r="N57" s="213"/>
      <c r="O57" s="213"/>
      <c r="P57" s="213"/>
      <c r="Q57" s="213"/>
      <c r="R57" s="213"/>
      <c r="S57" s="213"/>
      <c r="T57" s="213"/>
    </row>
    <row r="58" spans="1:20" x14ac:dyDescent="0.25">
      <c r="A58" s="224"/>
      <c r="B58" s="447"/>
      <c r="C58" s="447"/>
      <c r="D58" s="447"/>
      <c r="E58" s="447"/>
      <c r="F58" s="447"/>
      <c r="G58" s="447"/>
      <c r="H58" s="447"/>
      <c r="I58" s="224"/>
      <c r="J58" s="224"/>
      <c r="K58" s="224"/>
      <c r="L58" s="213"/>
      <c r="M58" s="213"/>
      <c r="N58" s="213"/>
      <c r="O58" s="213"/>
      <c r="P58" s="213"/>
      <c r="Q58" s="213"/>
      <c r="R58" s="213"/>
      <c r="S58" s="213"/>
      <c r="T58" s="213"/>
    </row>
    <row r="59" spans="1:20" x14ac:dyDescent="0.25">
      <c r="A59" s="224"/>
      <c r="B59" s="447"/>
      <c r="C59" s="447"/>
      <c r="D59" s="447"/>
      <c r="E59" s="447"/>
      <c r="F59" s="447"/>
      <c r="G59" s="447"/>
      <c r="H59" s="447"/>
      <c r="I59" s="224"/>
      <c r="J59" s="224"/>
      <c r="K59" s="224"/>
      <c r="L59" s="213"/>
      <c r="M59" s="213"/>
      <c r="N59" s="213"/>
      <c r="O59" s="213"/>
      <c r="P59" s="213"/>
      <c r="Q59" s="213"/>
      <c r="R59" s="213"/>
      <c r="S59" s="213"/>
      <c r="T59" s="213"/>
    </row>
    <row r="60" spans="1:20" x14ac:dyDescent="0.25">
      <c r="A60" s="224"/>
      <c r="B60" s="447"/>
      <c r="C60" s="447"/>
      <c r="D60" s="447"/>
      <c r="E60" s="447"/>
      <c r="F60" s="447"/>
      <c r="G60" s="447"/>
      <c r="H60" s="447"/>
      <c r="I60" s="224"/>
      <c r="J60" s="224"/>
      <c r="K60" s="224"/>
      <c r="L60" s="213"/>
      <c r="M60" s="213"/>
      <c r="N60" s="213"/>
      <c r="O60" s="213"/>
      <c r="P60" s="213"/>
      <c r="Q60" s="213"/>
      <c r="R60" s="213"/>
      <c r="S60" s="213"/>
      <c r="T60" s="213"/>
    </row>
    <row r="61" spans="1:20" x14ac:dyDescent="0.25">
      <c r="A61" s="224"/>
      <c r="B61" s="447"/>
      <c r="C61" s="447"/>
      <c r="D61" s="447"/>
      <c r="E61" s="447"/>
      <c r="F61" s="447"/>
      <c r="G61" s="447"/>
      <c r="H61" s="447"/>
      <c r="I61" s="224"/>
      <c r="J61" s="224"/>
      <c r="K61" s="224"/>
      <c r="L61" s="213"/>
      <c r="M61" s="213"/>
      <c r="N61" s="213"/>
      <c r="O61" s="213"/>
      <c r="P61" s="213"/>
      <c r="Q61" s="213"/>
      <c r="R61" s="213"/>
      <c r="S61" s="213"/>
      <c r="T61" s="213"/>
    </row>
    <row r="62" spans="1:20" x14ac:dyDescent="0.25">
      <c r="A62" s="224"/>
      <c r="B62" s="447"/>
      <c r="C62" s="447"/>
      <c r="D62" s="447"/>
      <c r="E62" s="447"/>
      <c r="F62" s="447"/>
      <c r="G62" s="447"/>
      <c r="H62" s="447"/>
      <c r="I62" s="224"/>
      <c r="J62" s="224"/>
      <c r="K62" s="224"/>
      <c r="L62" s="213"/>
      <c r="M62" s="213"/>
      <c r="N62" s="213"/>
      <c r="O62" s="213"/>
      <c r="P62" s="213"/>
      <c r="Q62" s="213"/>
      <c r="R62" s="213"/>
      <c r="S62" s="213"/>
      <c r="T62" s="213"/>
    </row>
    <row r="63" spans="1:20" ht="15" customHeight="1" x14ac:dyDescent="0.25">
      <c r="A63" s="224"/>
      <c r="B63" s="447"/>
      <c r="C63" s="447"/>
      <c r="D63" s="447"/>
      <c r="E63" s="447"/>
      <c r="F63" s="447"/>
      <c r="G63" s="1907" t="s">
        <v>1832</v>
      </c>
      <c r="H63" s="1907"/>
      <c r="I63" s="1907"/>
      <c r="J63" s="1907"/>
      <c r="K63" s="1907"/>
      <c r="L63" s="956"/>
      <c r="M63" s="1907" t="s">
        <v>1833</v>
      </c>
      <c r="N63" s="1907"/>
      <c r="O63" s="1907"/>
      <c r="P63" s="1907"/>
      <c r="Q63" s="1907"/>
      <c r="R63" s="956"/>
      <c r="S63" s="213"/>
      <c r="T63" s="213"/>
    </row>
    <row r="64" spans="1:20" ht="16.5" customHeight="1" x14ac:dyDescent="0.25">
      <c r="A64" s="224"/>
      <c r="B64" s="445"/>
      <c r="C64" s="445"/>
      <c r="D64" s="445"/>
      <c r="E64" s="445"/>
      <c r="F64" s="845"/>
      <c r="G64" s="1907"/>
      <c r="H64" s="1907"/>
      <c r="I64" s="1907"/>
      <c r="J64" s="1907"/>
      <c r="K64" s="1907"/>
      <c r="L64" s="956"/>
      <c r="M64" s="1907"/>
      <c r="N64" s="1907"/>
      <c r="O64" s="1907"/>
      <c r="P64" s="1907"/>
      <c r="Q64" s="1907"/>
      <c r="R64" s="956"/>
      <c r="S64" s="213"/>
      <c r="T64" s="213"/>
    </row>
    <row r="65" spans="1:22" ht="16.5" customHeight="1" x14ac:dyDescent="0.25">
      <c r="A65" s="1877" t="s">
        <v>26</v>
      </c>
      <c r="B65" s="1877"/>
      <c r="C65" s="1877"/>
      <c r="D65" s="224"/>
      <c r="E65" s="224"/>
      <c r="F65" s="224"/>
      <c r="G65" s="224"/>
      <c r="H65" s="224"/>
      <c r="I65" s="224"/>
      <c r="J65" s="224"/>
      <c r="K65" s="224"/>
      <c r="L65" s="213"/>
      <c r="M65" s="213"/>
      <c r="N65" s="213"/>
      <c r="O65" s="213"/>
      <c r="P65" s="213"/>
      <c r="Q65" s="213"/>
      <c r="R65" s="213"/>
      <c r="S65" s="213"/>
      <c r="T65" s="213"/>
    </row>
    <row r="66" spans="1:22" x14ac:dyDescent="0.25">
      <c r="A66" s="224"/>
      <c r="B66" s="224"/>
      <c r="C66" s="224"/>
      <c r="D66" s="224"/>
      <c r="E66" s="224"/>
      <c r="F66" s="224"/>
      <c r="G66" s="224"/>
      <c r="H66" s="224"/>
      <c r="I66" s="224"/>
      <c r="J66" s="224"/>
      <c r="K66" s="224"/>
      <c r="L66" s="213"/>
      <c r="M66" s="213"/>
      <c r="N66" s="213"/>
      <c r="O66" s="213"/>
      <c r="P66" s="213"/>
      <c r="Q66" s="213"/>
      <c r="R66" s="213"/>
      <c r="S66" s="213"/>
      <c r="T66" s="213"/>
    </row>
    <row r="67" spans="1:22" ht="15" customHeight="1" x14ac:dyDescent="0.25">
      <c r="A67" s="224"/>
      <c r="B67" s="707" t="s">
        <v>1976</v>
      </c>
      <c r="C67" s="707"/>
      <c r="D67" s="707"/>
      <c r="E67" s="707"/>
      <c r="F67" s="707"/>
      <c r="G67" s="707"/>
      <c r="H67" s="224"/>
      <c r="I67" s="224"/>
      <c r="J67" s="224"/>
      <c r="K67" s="224"/>
      <c r="L67" s="213"/>
      <c r="M67" s="213"/>
      <c r="N67" s="213"/>
      <c r="O67" s="213"/>
      <c r="P67" s="213"/>
      <c r="Q67" s="213"/>
      <c r="R67" s="213"/>
      <c r="S67" s="213"/>
      <c r="T67" s="213"/>
    </row>
    <row r="68" spans="1:22" ht="11.25" customHeight="1" x14ac:dyDescent="0.25">
      <c r="A68" s="224"/>
      <c r="B68" s="224"/>
      <c r="C68" s="224"/>
      <c r="D68" s="224"/>
      <c r="E68" s="224"/>
      <c r="F68" s="224"/>
      <c r="G68" s="224"/>
      <c r="H68" s="224"/>
      <c r="I68" s="224"/>
      <c r="J68" s="224"/>
      <c r="K68" s="224"/>
      <c r="L68" s="213"/>
      <c r="M68" s="213"/>
      <c r="N68" s="213"/>
      <c r="O68" s="213"/>
      <c r="P68" s="213"/>
      <c r="Q68" s="213"/>
      <c r="R68" s="213"/>
      <c r="S68" s="213"/>
      <c r="T68" s="213"/>
    </row>
    <row r="69" spans="1:22" ht="18" customHeight="1" x14ac:dyDescent="0.25">
      <c r="A69" s="224"/>
      <c r="B69" s="1011" t="s">
        <v>1975</v>
      </c>
      <c r="C69" s="224"/>
      <c r="D69" s="224"/>
      <c r="E69" s="224"/>
      <c r="F69" s="224"/>
      <c r="G69" s="224"/>
      <c r="H69" s="224"/>
      <c r="I69" s="224"/>
      <c r="J69" s="224"/>
      <c r="K69" s="224"/>
      <c r="L69" s="213"/>
      <c r="M69" s="213"/>
      <c r="N69" s="213"/>
      <c r="O69" s="213"/>
      <c r="P69" s="213"/>
      <c r="Q69" s="213"/>
      <c r="R69" s="213"/>
      <c r="S69" s="213"/>
      <c r="T69" s="213"/>
    </row>
    <row r="70" spans="1:22" ht="12" customHeight="1" x14ac:dyDescent="0.25">
      <c r="A70" s="224"/>
      <c r="B70" s="224"/>
      <c r="C70" s="224"/>
      <c r="D70" s="224"/>
      <c r="E70" s="224"/>
      <c r="F70" s="224"/>
      <c r="G70" s="224"/>
      <c r="H70" s="224"/>
      <c r="I70" s="224"/>
      <c r="J70" s="224"/>
      <c r="K70" s="224"/>
      <c r="L70" s="213"/>
      <c r="M70" s="213"/>
      <c r="N70" s="213"/>
      <c r="O70" s="213"/>
      <c r="P70" s="213"/>
      <c r="Q70" s="213"/>
      <c r="R70" s="213"/>
      <c r="S70" s="213"/>
      <c r="T70" s="213"/>
    </row>
    <row r="71" spans="1:22" ht="27" customHeight="1" x14ac:dyDescent="0.25">
      <c r="A71" s="224"/>
      <c r="B71" s="1138" t="s">
        <v>1973</v>
      </c>
      <c r="C71" s="826" t="s">
        <v>43</v>
      </c>
      <c r="D71" s="1861" t="s">
        <v>1594</v>
      </c>
      <c r="E71" s="1861"/>
      <c r="F71" s="1861" t="s">
        <v>1595</v>
      </c>
      <c r="G71" s="1861"/>
      <c r="H71" s="1861"/>
      <c r="I71" s="1861" t="s">
        <v>182</v>
      </c>
      <c r="J71" s="1862"/>
      <c r="K71" s="224"/>
      <c r="L71" s="224"/>
      <c r="M71" s="224"/>
      <c r="N71" s="213"/>
      <c r="O71" s="213"/>
      <c r="P71" s="213"/>
      <c r="Q71" s="213"/>
      <c r="R71" s="213"/>
      <c r="S71" s="213"/>
      <c r="T71" s="213"/>
      <c r="U71" s="213"/>
      <c r="V71" s="213"/>
    </row>
    <row r="72" spans="1:22" ht="15.75" customHeight="1" x14ac:dyDescent="0.25">
      <c r="A72" s="224"/>
      <c r="B72" s="805"/>
      <c r="C72" s="805"/>
      <c r="D72" s="1817"/>
      <c r="E72" s="1817"/>
      <c r="F72" s="1817"/>
      <c r="G72" s="1817"/>
      <c r="H72" s="1817"/>
      <c r="I72" s="1903" t="str">
        <f>IF(C72="","",IF((D72+F72)&gt;=0.75*C72,"Yes","No"))</f>
        <v/>
      </c>
      <c r="J72" s="1903"/>
      <c r="K72" s="224"/>
      <c r="L72" s="224"/>
      <c r="M72" s="224"/>
      <c r="N72" s="213"/>
      <c r="O72" s="213"/>
      <c r="P72" s="213"/>
      <c r="Q72" s="213"/>
      <c r="R72" s="213"/>
      <c r="S72" s="213"/>
      <c r="T72" s="213"/>
      <c r="U72" s="213"/>
      <c r="V72" s="213"/>
    </row>
    <row r="73" spans="1:22" ht="15.75" customHeight="1" x14ac:dyDescent="0.25">
      <c r="A73" s="224"/>
      <c r="B73" s="436"/>
      <c r="C73" s="993"/>
      <c r="D73" s="1817"/>
      <c r="E73" s="1817"/>
      <c r="F73" s="1817"/>
      <c r="G73" s="1817"/>
      <c r="H73" s="1817"/>
      <c r="I73" s="1903" t="str">
        <f t="shared" ref="I73:I81" si="0">IF(C73="","",IF((D73+F73)&gt;=0.75*C73,"Yes","No"))</f>
        <v/>
      </c>
      <c r="J73" s="1903"/>
      <c r="K73" s="224"/>
      <c r="L73" s="224"/>
      <c r="M73" s="224"/>
      <c r="N73" s="213"/>
      <c r="O73" s="213"/>
      <c r="P73" s="213"/>
      <c r="Q73" s="213"/>
      <c r="R73" s="213"/>
      <c r="S73" s="213"/>
      <c r="T73" s="213"/>
      <c r="U73" s="213"/>
      <c r="V73" s="213"/>
    </row>
    <row r="74" spans="1:22" ht="15.75" customHeight="1" x14ac:dyDescent="0.25">
      <c r="A74" s="224"/>
      <c r="B74" s="436"/>
      <c r="C74" s="993"/>
      <c r="D74" s="1817"/>
      <c r="E74" s="1817"/>
      <c r="F74" s="1817"/>
      <c r="G74" s="1817"/>
      <c r="H74" s="1817"/>
      <c r="I74" s="1903" t="str">
        <f t="shared" si="0"/>
        <v/>
      </c>
      <c r="J74" s="1903"/>
      <c r="K74" s="224"/>
      <c r="L74" s="224"/>
      <c r="M74" s="224"/>
      <c r="N74" s="213"/>
      <c r="O74" s="213"/>
      <c r="P74" s="213"/>
      <c r="Q74" s="213"/>
      <c r="R74" s="213"/>
      <c r="S74" s="213"/>
      <c r="T74" s="213"/>
      <c r="U74" s="213"/>
      <c r="V74" s="213"/>
    </row>
    <row r="75" spans="1:22" ht="15.75" customHeight="1" x14ac:dyDescent="0.25">
      <c r="A75" s="224"/>
      <c r="B75" s="436"/>
      <c r="C75" s="993"/>
      <c r="D75" s="1817"/>
      <c r="E75" s="1817"/>
      <c r="F75" s="1817"/>
      <c r="G75" s="1817"/>
      <c r="H75" s="1817"/>
      <c r="I75" s="1903" t="str">
        <f t="shared" si="0"/>
        <v/>
      </c>
      <c r="J75" s="1903"/>
      <c r="K75" s="224"/>
      <c r="L75" s="224"/>
      <c r="M75" s="224"/>
      <c r="N75" s="213"/>
      <c r="O75" s="213"/>
      <c r="P75" s="213"/>
      <c r="Q75" s="213"/>
      <c r="R75" s="213"/>
      <c r="S75" s="213"/>
      <c r="T75" s="213"/>
      <c r="U75" s="213"/>
      <c r="V75" s="213"/>
    </row>
    <row r="76" spans="1:22" ht="15.75" customHeight="1" x14ac:dyDescent="0.25">
      <c r="A76" s="224"/>
      <c r="B76" s="436"/>
      <c r="C76" s="993"/>
      <c r="D76" s="1817"/>
      <c r="E76" s="1817"/>
      <c r="F76" s="1817"/>
      <c r="G76" s="1817"/>
      <c r="H76" s="1817"/>
      <c r="I76" s="1903" t="str">
        <f t="shared" si="0"/>
        <v/>
      </c>
      <c r="J76" s="1903"/>
      <c r="K76" s="224"/>
      <c r="L76" s="224"/>
      <c r="M76" s="224"/>
      <c r="N76" s="213"/>
      <c r="O76" s="213"/>
      <c r="P76" s="213"/>
      <c r="Q76" s="213"/>
      <c r="R76" s="213"/>
      <c r="S76" s="213"/>
      <c r="T76" s="213"/>
      <c r="U76" s="213"/>
      <c r="V76" s="213"/>
    </row>
    <row r="77" spans="1:22" ht="15.75" customHeight="1" x14ac:dyDescent="0.25">
      <c r="A77" s="224"/>
      <c r="B77" s="436"/>
      <c r="C77" s="993"/>
      <c r="D77" s="1817"/>
      <c r="E77" s="1817"/>
      <c r="F77" s="1817"/>
      <c r="G77" s="1817"/>
      <c r="H77" s="1817"/>
      <c r="I77" s="1903" t="str">
        <f t="shared" si="0"/>
        <v/>
      </c>
      <c r="J77" s="1903"/>
      <c r="K77" s="224"/>
      <c r="L77" s="224"/>
      <c r="M77" s="224"/>
      <c r="N77" s="213"/>
      <c r="O77" s="213"/>
      <c r="P77" s="213"/>
      <c r="Q77" s="213"/>
      <c r="R77" s="213"/>
      <c r="S77" s="213"/>
      <c r="T77" s="213"/>
      <c r="U77" s="213"/>
      <c r="V77" s="213"/>
    </row>
    <row r="78" spans="1:22" ht="15.75" customHeight="1" x14ac:dyDescent="0.25">
      <c r="A78" s="224"/>
      <c r="B78" s="436"/>
      <c r="C78" s="992"/>
      <c r="D78" s="1470"/>
      <c r="E78" s="1470"/>
      <c r="F78" s="1470"/>
      <c r="G78" s="1470"/>
      <c r="H78" s="1470"/>
      <c r="I78" s="1903" t="str">
        <f t="shared" si="0"/>
        <v/>
      </c>
      <c r="J78" s="1903"/>
      <c r="K78" s="224"/>
      <c r="L78" s="224"/>
      <c r="M78" s="224"/>
      <c r="N78" s="213"/>
      <c r="O78" s="213"/>
      <c r="P78" s="213"/>
      <c r="Q78" s="213"/>
      <c r="R78" s="213"/>
      <c r="S78" s="213"/>
      <c r="T78" s="213"/>
      <c r="U78" s="213"/>
      <c r="V78" s="213"/>
    </row>
    <row r="79" spans="1:22" ht="15.75" customHeight="1" x14ac:dyDescent="0.25">
      <c r="A79" s="224"/>
      <c r="B79" s="436"/>
      <c r="C79" s="993"/>
      <c r="D79" s="1817"/>
      <c r="E79" s="1817"/>
      <c r="F79" s="1817"/>
      <c r="G79" s="1817"/>
      <c r="H79" s="1817"/>
      <c r="I79" s="1903" t="str">
        <f t="shared" si="0"/>
        <v/>
      </c>
      <c r="J79" s="1903"/>
      <c r="K79" s="224"/>
      <c r="L79" s="224"/>
      <c r="M79" s="224"/>
      <c r="N79" s="213"/>
      <c r="O79" s="213"/>
      <c r="P79" s="213"/>
      <c r="Q79" s="213"/>
      <c r="R79" s="213"/>
      <c r="S79" s="213"/>
      <c r="T79" s="213"/>
      <c r="U79" s="213"/>
      <c r="V79" s="213"/>
    </row>
    <row r="80" spans="1:22" ht="15.75" customHeight="1" x14ac:dyDescent="0.25">
      <c r="A80" s="224"/>
      <c r="B80" s="436"/>
      <c r="C80" s="992"/>
      <c r="D80" s="1470"/>
      <c r="E80" s="1470"/>
      <c r="F80" s="1470"/>
      <c r="G80" s="1470"/>
      <c r="H80" s="1470"/>
      <c r="I80" s="1903" t="str">
        <f t="shared" si="0"/>
        <v/>
      </c>
      <c r="J80" s="1903"/>
      <c r="K80" s="224"/>
      <c r="L80" s="224"/>
      <c r="M80" s="224"/>
      <c r="N80" s="213"/>
      <c r="O80" s="213"/>
      <c r="P80" s="213"/>
      <c r="Q80" s="213"/>
      <c r="R80" s="213"/>
      <c r="S80" s="213"/>
      <c r="T80" s="213"/>
      <c r="U80" s="213"/>
      <c r="V80" s="213"/>
    </row>
    <row r="81" spans="1:22" ht="15.75" customHeight="1" x14ac:dyDescent="0.25">
      <c r="A81" s="224"/>
      <c r="B81" s="436"/>
      <c r="C81" s="992"/>
      <c r="D81" s="1470"/>
      <c r="E81" s="1470"/>
      <c r="F81" s="1470"/>
      <c r="G81" s="1470"/>
      <c r="H81" s="1470"/>
      <c r="I81" s="1903" t="str">
        <f t="shared" si="0"/>
        <v/>
      </c>
      <c r="J81" s="1903"/>
      <c r="K81" s="224"/>
      <c r="L81" s="224"/>
      <c r="M81" s="224"/>
      <c r="N81" s="213"/>
      <c r="O81" s="213"/>
      <c r="P81" s="213"/>
      <c r="Q81" s="213"/>
      <c r="R81" s="213"/>
      <c r="S81" s="213"/>
      <c r="T81" s="213"/>
      <c r="U81" s="213"/>
      <c r="V81" s="213"/>
    </row>
    <row r="82" spans="1:22" x14ac:dyDescent="0.25">
      <c r="A82" s="224"/>
      <c r="B82" s="224"/>
      <c r="C82" s="224"/>
      <c r="D82" s="224"/>
      <c r="E82" s="224"/>
      <c r="F82" s="224"/>
      <c r="G82" s="224"/>
      <c r="H82" s="224"/>
      <c r="I82" s="224"/>
      <c r="J82" s="224"/>
      <c r="K82" s="224"/>
      <c r="L82" s="213"/>
      <c r="M82" s="213"/>
      <c r="N82" s="213"/>
      <c r="O82" s="213"/>
      <c r="P82" s="213"/>
      <c r="Q82" s="213"/>
      <c r="R82" s="213"/>
      <c r="S82" s="213"/>
      <c r="T82" s="213"/>
    </row>
    <row r="83" spans="1:22" ht="19.5" customHeight="1" x14ac:dyDescent="0.25">
      <c r="A83" s="224"/>
      <c r="B83" s="1830" t="s">
        <v>659</v>
      </c>
      <c r="C83" s="1830"/>
      <c r="D83" s="1830"/>
      <c r="E83" s="311">
        <f ca="1">SUMIF(I72:J81,"Yes",C72:C81)</f>
        <v>0</v>
      </c>
      <c r="F83" s="224"/>
      <c r="G83" s="224"/>
      <c r="H83" s="224"/>
      <c r="I83" s="224"/>
      <c r="J83" s="224"/>
      <c r="K83" s="224"/>
      <c r="L83" s="213"/>
      <c r="M83" s="213"/>
      <c r="N83" s="213"/>
      <c r="O83" s="213"/>
      <c r="P83" s="213"/>
      <c r="Q83" s="213"/>
      <c r="R83" s="213"/>
      <c r="S83" s="213"/>
      <c r="T83" s="213"/>
    </row>
    <row r="84" spans="1:22" ht="19.5" customHeight="1" x14ac:dyDescent="0.25">
      <c r="A84" s="224"/>
      <c r="B84" s="1934" t="s">
        <v>1608</v>
      </c>
      <c r="C84" s="1935"/>
      <c r="D84" s="1936"/>
      <c r="E84" s="86">
        <f ca="1">IFERROR(SUMIF(I72:J81,"Yes",C72:C81)/SUM(C72:C81),0)</f>
        <v>0</v>
      </c>
      <c r="F84" s="224"/>
      <c r="G84" s="224"/>
      <c r="H84" s="224"/>
      <c r="I84" s="224"/>
      <c r="J84" s="224"/>
      <c r="K84" s="224"/>
      <c r="L84" s="213"/>
      <c r="M84" s="213"/>
      <c r="N84" s="213"/>
      <c r="O84" s="213"/>
      <c r="P84" s="213"/>
      <c r="Q84" s="213"/>
      <c r="R84" s="213"/>
      <c r="S84" s="213"/>
      <c r="T84" s="213"/>
    </row>
    <row r="85" spans="1:22" ht="20.25" customHeight="1" x14ac:dyDescent="0.25">
      <c r="A85" s="224"/>
      <c r="B85" s="224"/>
      <c r="C85" s="224"/>
      <c r="D85" s="224"/>
      <c r="E85" s="224"/>
      <c r="F85" s="224"/>
      <c r="G85" s="224"/>
      <c r="H85" s="224"/>
      <c r="I85" s="224"/>
      <c r="J85" s="224"/>
      <c r="K85" s="224"/>
      <c r="L85" s="213"/>
      <c r="M85" s="213"/>
      <c r="N85" s="213"/>
      <c r="O85" s="213"/>
      <c r="P85" s="213"/>
      <c r="Q85" s="213"/>
      <c r="R85" s="213"/>
      <c r="S85" s="213"/>
      <c r="T85" s="213"/>
    </row>
    <row r="86" spans="1:22" ht="16.5" customHeight="1" x14ac:dyDescent="0.25">
      <c r="A86" s="1877" t="s">
        <v>200</v>
      </c>
      <c r="B86" s="1877"/>
      <c r="C86" s="1877"/>
      <c r="D86" s="224"/>
      <c r="E86" s="224"/>
      <c r="F86" s="224"/>
      <c r="G86" s="224"/>
      <c r="H86" s="224"/>
      <c r="I86" s="224"/>
      <c r="J86" s="224"/>
      <c r="K86" s="224"/>
      <c r="L86" s="213"/>
      <c r="M86" s="213"/>
      <c r="N86" s="213"/>
      <c r="O86" s="213"/>
      <c r="P86" s="213"/>
      <c r="Q86" s="213"/>
      <c r="R86" s="213"/>
      <c r="S86" s="213"/>
      <c r="T86" s="213"/>
    </row>
    <row r="87" spans="1:22" x14ac:dyDescent="0.25">
      <c r="A87" s="224"/>
      <c r="B87" s="224"/>
      <c r="C87" s="224"/>
      <c r="D87" s="224"/>
      <c r="E87" s="224"/>
      <c r="F87" s="224"/>
      <c r="G87" s="224"/>
      <c r="H87" s="224"/>
      <c r="I87" s="224"/>
      <c r="J87" s="224"/>
      <c r="K87" s="224"/>
      <c r="L87" s="213"/>
      <c r="M87" s="213"/>
      <c r="N87" s="213"/>
      <c r="O87" s="213"/>
      <c r="P87" s="213"/>
      <c r="Q87" s="213"/>
      <c r="R87" s="213"/>
      <c r="S87" s="213"/>
      <c r="T87" s="213"/>
    </row>
    <row r="88" spans="1:22" ht="21" customHeight="1" x14ac:dyDescent="0.25">
      <c r="A88" s="224"/>
      <c r="B88" s="1856" t="s">
        <v>2103</v>
      </c>
      <c r="C88" s="1857"/>
      <c r="D88" s="1857"/>
      <c r="E88" s="1857"/>
      <c r="F88" s="1857"/>
      <c r="G88" s="1857"/>
      <c r="H88" s="1857"/>
      <c r="I88" s="1857"/>
      <c r="J88" s="1857"/>
      <c r="K88" s="1834" t="s">
        <v>2101</v>
      </c>
      <c r="L88" s="1834"/>
      <c r="M88" s="1904" t="s">
        <v>2102</v>
      </c>
      <c r="N88" s="1904"/>
      <c r="O88" s="1904"/>
      <c r="P88" s="1905"/>
      <c r="Q88" s="213"/>
      <c r="R88" s="213"/>
      <c r="S88" s="213"/>
      <c r="T88" s="213"/>
    </row>
    <row r="89" spans="1:22" ht="24" customHeight="1" x14ac:dyDescent="0.25">
      <c r="A89" s="224"/>
      <c r="B89" s="1899" t="s">
        <v>1268</v>
      </c>
      <c r="C89" s="1900"/>
      <c r="D89" s="1900"/>
      <c r="E89" s="1900"/>
      <c r="F89" s="1900"/>
      <c r="G89" s="1900"/>
      <c r="H89" s="1900"/>
      <c r="I89" s="1900"/>
      <c r="J89" s="1912"/>
      <c r="K89" s="1470" t="s">
        <v>129</v>
      </c>
      <c r="L89" s="1470"/>
      <c r="M89" s="1918"/>
      <c r="N89" s="1919"/>
      <c r="O89" s="1919"/>
      <c r="P89" s="1920"/>
      <c r="Q89" s="213"/>
      <c r="R89" s="213"/>
      <c r="S89" s="213"/>
      <c r="T89" s="213"/>
    </row>
    <row r="90" spans="1:22" ht="18" customHeight="1" x14ac:dyDescent="0.25">
      <c r="A90" s="224"/>
      <c r="B90" s="224"/>
      <c r="C90" s="224"/>
      <c r="D90" s="224"/>
      <c r="E90" s="224"/>
      <c r="F90" s="224"/>
      <c r="G90" s="224"/>
      <c r="H90" s="224"/>
      <c r="I90" s="224"/>
      <c r="J90" s="224"/>
      <c r="K90" s="224"/>
      <c r="L90" s="213"/>
      <c r="M90" s="213"/>
      <c r="N90" s="213"/>
      <c r="O90" s="213"/>
      <c r="P90" s="213"/>
      <c r="Q90" s="213"/>
      <c r="R90" s="213"/>
      <c r="S90" s="213"/>
      <c r="T90" s="213"/>
    </row>
    <row r="91" spans="1:22" ht="16.5" customHeight="1" x14ac:dyDescent="0.25">
      <c r="A91" s="1877" t="s">
        <v>25</v>
      </c>
      <c r="B91" s="1877"/>
      <c r="C91" s="1877"/>
      <c r="D91" s="224"/>
      <c r="E91" s="224"/>
      <c r="F91" s="224"/>
      <c r="G91" s="224"/>
      <c r="H91" s="224"/>
      <c r="I91" s="224"/>
      <c r="J91" s="224"/>
      <c r="K91" s="224"/>
      <c r="L91" s="213"/>
      <c r="M91" s="213"/>
      <c r="N91" s="213"/>
      <c r="O91" s="213"/>
      <c r="P91" s="213"/>
      <c r="Q91" s="213"/>
      <c r="R91" s="213"/>
      <c r="S91" s="213"/>
      <c r="T91" s="213"/>
    </row>
    <row r="92" spans="1:22" x14ac:dyDescent="0.25">
      <c r="A92" s="224"/>
      <c r="B92" s="224"/>
      <c r="C92" s="224"/>
      <c r="D92" s="224"/>
      <c r="E92" s="224"/>
      <c r="F92" s="224"/>
      <c r="G92" s="224"/>
      <c r="H92" s="224"/>
      <c r="I92" s="224"/>
      <c r="J92" s="224"/>
      <c r="K92" s="224"/>
      <c r="L92" s="213"/>
      <c r="M92" s="213"/>
      <c r="N92" s="213"/>
      <c r="O92" s="213"/>
      <c r="P92" s="213"/>
      <c r="Q92" s="213"/>
      <c r="R92" s="213"/>
      <c r="S92" s="213"/>
      <c r="T92" s="213"/>
    </row>
    <row r="93" spans="1:22" ht="18" customHeight="1" x14ac:dyDescent="0.25">
      <c r="A93" s="224"/>
      <c r="B93" s="271" t="s">
        <v>56</v>
      </c>
      <c r="C93" s="1906">
        <f ca="1">IF(E84="",0,IF(E84&gt;=0.9,3,IF(E84&gt;=0.7,2,IF(E84&gt;=0.5,1,0))))</f>
        <v>0</v>
      </c>
      <c r="D93" s="1906"/>
      <c r="E93" s="224"/>
      <c r="F93" s="224"/>
      <c r="G93" s="224"/>
      <c r="H93" s="224"/>
      <c r="I93" s="224"/>
      <c r="J93" s="224"/>
      <c r="K93" s="224"/>
      <c r="L93" s="213"/>
      <c r="M93" s="213"/>
      <c r="N93" s="213"/>
      <c r="O93" s="213"/>
      <c r="P93" s="213"/>
      <c r="Q93" s="213"/>
      <c r="R93" s="213"/>
      <c r="S93" s="213"/>
      <c r="T93" s="213"/>
    </row>
    <row r="94" spans="1:22" ht="18" customHeight="1" x14ac:dyDescent="0.25">
      <c r="A94" s="224"/>
      <c r="B94" s="272" t="s">
        <v>521</v>
      </c>
      <c r="C94" s="1906" t="str">
        <f ca="1">IF(AND(K89="Submitted",C93&gt;0),"Yes","No")</f>
        <v>No</v>
      </c>
      <c r="D94" s="1906"/>
      <c r="E94" s="224"/>
      <c r="F94" s="224"/>
      <c r="G94" s="224"/>
      <c r="H94" s="224"/>
      <c r="I94" s="224"/>
      <c r="J94" s="224"/>
      <c r="K94" s="224"/>
      <c r="L94" s="213"/>
      <c r="M94" s="213"/>
      <c r="N94" s="213"/>
      <c r="O94" s="213"/>
      <c r="P94" s="213"/>
      <c r="Q94" s="213"/>
      <c r="R94" s="213"/>
      <c r="S94" s="213"/>
      <c r="T94" s="213"/>
    </row>
    <row r="95" spans="1:22" ht="21" customHeight="1" x14ac:dyDescent="0.25">
      <c r="A95" s="224"/>
      <c r="B95" s="224"/>
      <c r="C95" s="224"/>
      <c r="D95" s="224"/>
      <c r="E95" s="224"/>
      <c r="F95" s="224"/>
      <c r="G95" s="224"/>
      <c r="H95" s="224"/>
      <c r="I95" s="224"/>
      <c r="J95" s="224"/>
      <c r="K95" s="224"/>
      <c r="L95" s="213"/>
      <c r="M95" s="213"/>
      <c r="N95" s="213"/>
      <c r="O95" s="213"/>
      <c r="P95" s="213"/>
      <c r="Q95" s="213"/>
      <c r="R95" s="213"/>
      <c r="S95" s="213"/>
      <c r="T95" s="213"/>
    </row>
    <row r="96" spans="1:22" ht="18" customHeight="1" x14ac:dyDescent="0.25">
      <c r="A96" s="1831" t="s">
        <v>15</v>
      </c>
      <c r="B96" s="1831"/>
      <c r="C96" s="1831"/>
      <c r="D96" s="1831"/>
      <c r="E96" s="1831"/>
      <c r="F96" s="1831"/>
      <c r="G96" s="1831"/>
      <c r="H96" s="1831"/>
      <c r="I96" s="1831"/>
      <c r="J96" s="1831"/>
      <c r="K96" s="1831"/>
      <c r="L96" s="1831"/>
      <c r="M96" s="1831"/>
      <c r="N96" s="1831"/>
      <c r="O96" s="1831"/>
      <c r="P96" s="1831"/>
      <c r="Q96" s="1831"/>
      <c r="R96" s="1831"/>
      <c r="S96" s="56"/>
      <c r="T96" s="56"/>
    </row>
    <row r="97" spans="1:22" x14ac:dyDescent="0.25">
      <c r="A97" s="214"/>
      <c r="B97" s="227"/>
      <c r="C97" s="227"/>
      <c r="D97" s="227"/>
      <c r="E97" s="227"/>
      <c r="F97" s="214"/>
      <c r="G97" s="214"/>
      <c r="H97" s="214"/>
      <c r="I97" s="214"/>
      <c r="J97" s="214"/>
      <c r="K97" s="214"/>
      <c r="L97" s="214"/>
      <c r="M97" s="214"/>
      <c r="N97" s="214"/>
      <c r="O97" s="214"/>
      <c r="P97" s="214"/>
      <c r="Q97" s="214"/>
      <c r="R97" s="214"/>
      <c r="S97" s="214"/>
      <c r="T97" s="214"/>
    </row>
    <row r="98" spans="1:22" x14ac:dyDescent="0.25">
      <c r="A98" s="214"/>
      <c r="B98" s="842" t="s">
        <v>1596</v>
      </c>
      <c r="C98" s="227"/>
      <c r="D98" s="227"/>
      <c r="E98" s="227"/>
      <c r="F98" s="214"/>
      <c r="G98" s="214"/>
      <c r="H98" s="214"/>
      <c r="I98" s="214"/>
      <c r="J98" s="214"/>
      <c r="K98" s="214"/>
      <c r="L98" s="214"/>
      <c r="M98" s="214"/>
      <c r="N98" s="214"/>
      <c r="O98" s="214"/>
      <c r="P98" s="214"/>
      <c r="Q98" s="214"/>
      <c r="R98" s="214"/>
      <c r="S98" s="214"/>
      <c r="T98" s="214"/>
    </row>
    <row r="99" spans="1:22" ht="18.75" customHeight="1" x14ac:dyDescent="0.25">
      <c r="A99" s="214"/>
      <c r="B99" s="227"/>
      <c r="C99" s="227"/>
      <c r="D99" s="227"/>
      <c r="E99" s="227"/>
      <c r="F99" s="214"/>
      <c r="G99" s="214"/>
      <c r="H99" s="214"/>
      <c r="I99" s="214"/>
      <c r="J99" s="214"/>
      <c r="K99" s="214"/>
      <c r="L99" s="214"/>
      <c r="M99" s="214"/>
      <c r="N99" s="214"/>
      <c r="O99" s="214"/>
      <c r="P99" s="214"/>
      <c r="Q99" s="214"/>
      <c r="R99" s="214"/>
      <c r="S99" s="214"/>
      <c r="T99" s="214"/>
    </row>
    <row r="100" spans="1:22" ht="15" customHeight="1" x14ac:dyDescent="0.25">
      <c r="A100" s="214"/>
      <c r="B100" s="1937" t="s">
        <v>1597</v>
      </c>
      <c r="C100" s="1937"/>
      <c r="D100" s="1937"/>
      <c r="E100" s="1937"/>
      <c r="F100" s="1937"/>
      <c r="G100" s="1937"/>
      <c r="H100" s="1937"/>
      <c r="I100" s="1937"/>
      <c r="J100" s="1937"/>
      <c r="K100" s="1937"/>
      <c r="L100" s="1937"/>
      <c r="M100" s="850"/>
      <c r="N100" s="850"/>
      <c r="O100" s="214"/>
      <c r="P100" s="214"/>
      <c r="Q100" s="214"/>
      <c r="R100" s="214"/>
      <c r="S100" s="214"/>
      <c r="T100" s="214"/>
    </row>
    <row r="101" spans="1:22" x14ac:dyDescent="0.25">
      <c r="A101" s="214"/>
      <c r="B101" s="1937"/>
      <c r="C101" s="1937"/>
      <c r="D101" s="1937"/>
      <c r="E101" s="1937"/>
      <c r="F101" s="1937"/>
      <c r="G101" s="1937"/>
      <c r="H101" s="1937"/>
      <c r="I101" s="1937"/>
      <c r="J101" s="1937"/>
      <c r="K101" s="1937"/>
      <c r="L101" s="1937"/>
      <c r="M101" s="850"/>
      <c r="N101" s="850"/>
      <c r="O101" s="214"/>
      <c r="P101" s="214"/>
      <c r="Q101" s="214"/>
      <c r="R101" s="214"/>
      <c r="S101" s="214"/>
      <c r="T101" s="214"/>
    </row>
    <row r="102" spans="1:22" ht="13.5" customHeight="1" x14ac:dyDescent="0.25">
      <c r="A102" s="214"/>
      <c r="B102" s="850"/>
      <c r="C102" s="850"/>
      <c r="D102" s="850"/>
      <c r="E102" s="850"/>
      <c r="F102" s="850"/>
      <c r="G102" s="850"/>
      <c r="H102" s="850"/>
      <c r="I102" s="850"/>
      <c r="J102" s="850"/>
      <c r="K102" s="850"/>
      <c r="L102" s="850"/>
      <c r="M102" s="850"/>
      <c r="N102" s="850"/>
      <c r="O102" s="214"/>
      <c r="P102" s="214"/>
      <c r="Q102" s="214"/>
      <c r="R102" s="214"/>
      <c r="S102" s="214"/>
      <c r="T102" s="214"/>
    </row>
    <row r="103" spans="1:22" ht="16.5" customHeight="1" x14ac:dyDescent="0.25">
      <c r="A103" s="1877" t="s">
        <v>26</v>
      </c>
      <c r="B103" s="1877"/>
      <c r="C103" s="1877"/>
      <c r="D103" s="227"/>
      <c r="E103" s="227"/>
      <c r="F103" s="227"/>
      <c r="G103" s="227"/>
      <c r="H103" s="227"/>
      <c r="I103" s="227"/>
      <c r="J103" s="227"/>
      <c r="K103" s="227"/>
      <c r="L103" s="227"/>
      <c r="M103" s="227"/>
      <c r="N103" s="227"/>
      <c r="O103" s="227"/>
      <c r="P103" s="227"/>
      <c r="Q103" s="227"/>
      <c r="R103" s="227"/>
      <c r="S103" s="227"/>
      <c r="T103" s="227"/>
    </row>
    <row r="104" spans="1:22" ht="12.75" customHeight="1" x14ac:dyDescent="0.25">
      <c r="A104" s="227"/>
      <c r="B104" s="227"/>
      <c r="C104" s="227"/>
      <c r="D104" s="227"/>
      <c r="E104" s="227"/>
      <c r="F104" s="227"/>
      <c r="G104" s="227"/>
      <c r="H104" s="227"/>
      <c r="I104" s="227"/>
      <c r="J104" s="227"/>
      <c r="K104" s="227"/>
      <c r="L104" s="227"/>
      <c r="M104" s="227"/>
      <c r="N104" s="227"/>
      <c r="O104" s="227"/>
      <c r="P104" s="227"/>
      <c r="Q104" s="227"/>
      <c r="R104" s="227"/>
      <c r="S104" s="227"/>
      <c r="T104" s="227"/>
    </row>
    <row r="105" spans="1:22" x14ac:dyDescent="0.25">
      <c r="A105" s="227"/>
      <c r="B105" s="659" t="s">
        <v>1609</v>
      </c>
      <c r="C105" s="227"/>
      <c r="D105" s="227"/>
      <c r="E105" s="227"/>
      <c r="F105" s="227"/>
      <c r="G105" s="227"/>
      <c r="H105" s="227"/>
      <c r="I105" s="227"/>
      <c r="J105" s="227"/>
      <c r="K105" s="227"/>
      <c r="L105" s="227"/>
      <c r="M105" s="227"/>
      <c r="N105" s="227"/>
      <c r="O105" s="227"/>
      <c r="P105" s="227"/>
      <c r="Q105" s="227"/>
      <c r="R105" s="227"/>
      <c r="S105" s="227"/>
      <c r="T105" s="227"/>
    </row>
    <row r="106" spans="1:22" ht="12.75" customHeight="1" x14ac:dyDescent="0.25">
      <c r="A106" s="227"/>
      <c r="B106" s="227"/>
      <c r="C106" s="227"/>
      <c r="D106" s="227"/>
      <c r="E106" s="227"/>
      <c r="F106" s="227"/>
      <c r="G106" s="227"/>
      <c r="H106" s="227"/>
      <c r="I106" s="227"/>
      <c r="J106" s="227"/>
      <c r="K106" s="227"/>
      <c r="L106" s="227"/>
      <c r="M106" s="227"/>
      <c r="N106" s="227"/>
      <c r="O106" s="227"/>
      <c r="P106" s="227"/>
      <c r="Q106" s="227"/>
      <c r="R106" s="227"/>
      <c r="S106" s="227"/>
      <c r="T106" s="227"/>
    </row>
    <row r="107" spans="1:22" x14ac:dyDescent="0.25">
      <c r="A107" s="227"/>
      <c r="B107" s="214" t="s">
        <v>1602</v>
      </c>
      <c r="C107" s="214"/>
      <c r="D107" s="214"/>
      <c r="E107" s="214"/>
      <c r="F107" s="214"/>
      <c r="G107" s="214"/>
      <c r="H107" s="214"/>
      <c r="I107" s="214"/>
      <c r="J107" s="227"/>
      <c r="K107" s="227"/>
      <c r="L107" s="227"/>
      <c r="M107" s="227"/>
      <c r="N107" s="227"/>
      <c r="O107" s="227"/>
      <c r="P107" s="227"/>
      <c r="Q107" s="227"/>
      <c r="R107" s="227"/>
      <c r="S107" s="227"/>
      <c r="T107" s="227"/>
    </row>
    <row r="108" spans="1:22" ht="16.5" customHeight="1" x14ac:dyDescent="0.25">
      <c r="A108" s="227"/>
      <c r="B108" s="1838" t="s">
        <v>1603</v>
      </c>
      <c r="C108" s="1839"/>
      <c r="D108" s="1839"/>
      <c r="E108" s="1915" t="s">
        <v>129</v>
      </c>
      <c r="F108" s="1916"/>
      <c r="G108" s="1917"/>
      <c r="H108" s="847"/>
      <c r="I108" s="214"/>
      <c r="J108" s="227"/>
      <c r="K108" s="227"/>
      <c r="L108" s="227"/>
      <c r="M108" s="227"/>
      <c r="N108" s="227"/>
      <c r="O108" s="227"/>
      <c r="P108" s="227"/>
      <c r="Q108" s="227"/>
      <c r="R108" s="227"/>
      <c r="S108" s="227"/>
      <c r="T108" s="227"/>
    </row>
    <row r="109" spans="1:22" ht="12.75" customHeight="1" x14ac:dyDescent="0.25">
      <c r="A109" s="227"/>
      <c r="B109" s="227"/>
      <c r="C109" s="227"/>
      <c r="D109" s="227"/>
      <c r="E109" s="227"/>
      <c r="F109" s="227"/>
      <c r="G109" s="227"/>
      <c r="H109" s="227"/>
      <c r="I109" s="227"/>
      <c r="J109" s="227"/>
      <c r="K109" s="227"/>
      <c r="L109" s="227"/>
      <c r="M109" s="227"/>
      <c r="N109" s="227"/>
      <c r="O109" s="227"/>
      <c r="P109" s="227"/>
      <c r="Q109" s="227"/>
      <c r="R109" s="227"/>
      <c r="S109" s="227"/>
      <c r="T109" s="227"/>
    </row>
    <row r="110" spans="1:22" ht="15" customHeight="1" x14ac:dyDescent="0.25">
      <c r="A110" s="227"/>
      <c r="B110" s="1928" t="s">
        <v>1973</v>
      </c>
      <c r="C110" s="1925" t="s">
        <v>644</v>
      </c>
      <c r="D110" s="1925" t="s">
        <v>653</v>
      </c>
      <c r="E110" s="1925" t="s">
        <v>654</v>
      </c>
      <c r="F110" s="1927" t="s">
        <v>652</v>
      </c>
      <c r="G110" s="1927"/>
      <c r="H110" s="1927"/>
      <c r="I110" s="1925" t="s">
        <v>645</v>
      </c>
      <c r="J110" s="1925" t="s">
        <v>1604</v>
      </c>
      <c r="K110" s="1927" t="s">
        <v>646</v>
      </c>
      <c r="L110" s="1927"/>
      <c r="M110" s="1927"/>
      <c r="N110" s="1925" t="s">
        <v>1607</v>
      </c>
      <c r="O110" s="1925"/>
      <c r="P110" s="1925" t="s">
        <v>1606</v>
      </c>
      <c r="Q110" s="1923" t="s">
        <v>182</v>
      </c>
      <c r="R110" s="227"/>
      <c r="S110" s="227"/>
      <c r="T110" s="227"/>
      <c r="U110" s="1921" t="s">
        <v>655</v>
      </c>
      <c r="V110" s="1921" t="s">
        <v>656</v>
      </c>
    </row>
    <row r="111" spans="1:22" x14ac:dyDescent="0.25">
      <c r="A111" s="227"/>
      <c r="B111" s="1929"/>
      <c r="C111" s="1930"/>
      <c r="D111" s="1926"/>
      <c r="E111" s="1926"/>
      <c r="F111" s="419" t="s">
        <v>657</v>
      </c>
      <c r="G111" s="419" t="s">
        <v>647</v>
      </c>
      <c r="H111" s="419" t="s">
        <v>648</v>
      </c>
      <c r="I111" s="1926"/>
      <c r="J111" s="1926"/>
      <c r="K111" s="419" t="s">
        <v>649</v>
      </c>
      <c r="L111" s="419" t="s">
        <v>650</v>
      </c>
      <c r="M111" s="419" t="s">
        <v>651</v>
      </c>
      <c r="N111" s="1926"/>
      <c r="O111" s="1926"/>
      <c r="P111" s="1926"/>
      <c r="Q111" s="1924"/>
      <c r="R111" s="227"/>
      <c r="S111" s="227"/>
      <c r="T111" s="227"/>
      <c r="U111" s="1922"/>
      <c r="V111" s="1922"/>
    </row>
    <row r="112" spans="1:22" ht="16.5" customHeight="1" x14ac:dyDescent="0.25">
      <c r="A112" s="227"/>
      <c r="B112" s="418"/>
      <c r="C112" s="418"/>
      <c r="D112" s="418"/>
      <c r="E112" s="418"/>
      <c r="F112" s="418"/>
      <c r="G112" s="418"/>
      <c r="H112" s="418"/>
      <c r="I112" s="418"/>
      <c r="J112" s="418"/>
      <c r="K112" s="418"/>
      <c r="L112" s="418"/>
      <c r="M112" s="418"/>
      <c r="N112" s="1901"/>
      <c r="O112" s="1902"/>
      <c r="P112" s="995">
        <f>IF($E$108="Spreadsheet Calculations",IFERROR((D112*(PI()/180)*MOD(E112,180)*I112*J112)/(U112*(1-V112^2)),""),N112)</f>
        <v>0</v>
      </c>
      <c r="Q112" s="848" t="str">
        <f>IF($E$108="Spreadsheet Calculations",IF(P112="","",IF(P112&gt;=0.01,"Yes","No")),IF(N112="","",IF(N112&gt;=0.01,"Yes","No")))</f>
        <v/>
      </c>
      <c r="R112" s="227"/>
      <c r="S112" s="227"/>
      <c r="T112" s="227"/>
      <c r="U112" s="42">
        <f>(F112*G112)*2+(G112*H112)*2+(F112*H112)*2</f>
        <v>0</v>
      </c>
      <c r="V112" s="42" t="e">
        <f>(K112*(F112*G112)+L112*(F112+G112)*2*H112+M112*(F112*G112))/U112</f>
        <v>#DIV/0!</v>
      </c>
    </row>
    <row r="113" spans="1:22" ht="16.5" customHeight="1" x14ac:dyDescent="0.25">
      <c r="A113" s="227"/>
      <c r="B113" s="185"/>
      <c r="C113" s="418"/>
      <c r="D113" s="418"/>
      <c r="E113" s="418"/>
      <c r="F113" s="418"/>
      <c r="G113" s="418"/>
      <c r="H113" s="418"/>
      <c r="I113" s="418"/>
      <c r="J113" s="418"/>
      <c r="K113" s="418"/>
      <c r="L113" s="418"/>
      <c r="M113" s="418"/>
      <c r="N113" s="1901"/>
      <c r="O113" s="1902"/>
      <c r="P113" s="995">
        <f t="shared" ref="P113:P121" si="1">IF($E$108="Spreadsheet Calculations",IFERROR((D113*(PI()/180)*MOD(E113,180)*I113*J113)/(U113*(1-V113^2)),""),N113)</f>
        <v>0</v>
      </c>
      <c r="Q113" s="848" t="str">
        <f t="shared" ref="Q113:Q121" si="2">IF($E$108="Spreadsheet Calculations",IF(P113="","",IF(P113&gt;=0.01,"Yes","No")),IF(N113="","",IF(N113&gt;=0.01,"Yes","No")))</f>
        <v/>
      </c>
      <c r="R113" s="227"/>
      <c r="S113" s="227"/>
      <c r="T113" s="227"/>
      <c r="U113" s="42">
        <f t="shared" ref="U113:U121" si="3">(F113*G113)*2+(G113*H113)*2+(F113*H113)*2</f>
        <v>0</v>
      </c>
      <c r="V113" s="42" t="e">
        <f t="shared" ref="V113:V121" si="4">(K113*(F113*G113)+L113*(F113+G113)*2*H113+M113*(F113*G113))/U113</f>
        <v>#DIV/0!</v>
      </c>
    </row>
    <row r="114" spans="1:22" ht="16.5" customHeight="1" x14ac:dyDescent="0.25">
      <c r="A114" s="227"/>
      <c r="B114" s="185"/>
      <c r="C114" s="418"/>
      <c r="D114" s="418"/>
      <c r="E114" s="418"/>
      <c r="F114" s="418"/>
      <c r="G114" s="418"/>
      <c r="H114" s="418"/>
      <c r="I114" s="418"/>
      <c r="J114" s="418"/>
      <c r="K114" s="418"/>
      <c r="L114" s="418"/>
      <c r="M114" s="418"/>
      <c r="N114" s="1901"/>
      <c r="O114" s="1902"/>
      <c r="P114" s="995">
        <f t="shared" si="1"/>
        <v>0</v>
      </c>
      <c r="Q114" s="848" t="str">
        <f t="shared" si="2"/>
        <v/>
      </c>
      <c r="R114" s="227"/>
      <c r="S114" s="227"/>
      <c r="T114" s="227"/>
      <c r="U114" s="42">
        <f t="shared" si="3"/>
        <v>0</v>
      </c>
      <c r="V114" s="42" t="e">
        <f t="shared" si="4"/>
        <v>#DIV/0!</v>
      </c>
    </row>
    <row r="115" spans="1:22" ht="16.5" customHeight="1" x14ac:dyDescent="0.25">
      <c r="A115" s="227"/>
      <c r="B115" s="185"/>
      <c r="C115" s="418"/>
      <c r="D115" s="418"/>
      <c r="E115" s="418"/>
      <c r="F115" s="418"/>
      <c r="G115" s="418"/>
      <c r="H115" s="418"/>
      <c r="I115" s="418"/>
      <c r="J115" s="418"/>
      <c r="K115" s="418"/>
      <c r="L115" s="418"/>
      <c r="M115" s="418"/>
      <c r="N115" s="1901"/>
      <c r="O115" s="1902"/>
      <c r="P115" s="995">
        <f t="shared" si="1"/>
        <v>0</v>
      </c>
      <c r="Q115" s="848" t="str">
        <f t="shared" si="2"/>
        <v/>
      </c>
      <c r="R115" s="227"/>
      <c r="S115" s="227"/>
      <c r="T115" s="227"/>
      <c r="U115" s="42">
        <f t="shared" si="3"/>
        <v>0</v>
      </c>
      <c r="V115" s="42" t="e">
        <f t="shared" si="4"/>
        <v>#DIV/0!</v>
      </c>
    </row>
    <row r="116" spans="1:22" ht="16.5" customHeight="1" x14ac:dyDescent="0.25">
      <c r="A116" s="227"/>
      <c r="B116" s="185"/>
      <c r="C116" s="418"/>
      <c r="D116" s="418"/>
      <c r="E116" s="418"/>
      <c r="F116" s="418"/>
      <c r="G116" s="418"/>
      <c r="H116" s="418"/>
      <c r="I116" s="418"/>
      <c r="J116" s="418"/>
      <c r="K116" s="418"/>
      <c r="L116" s="418"/>
      <c r="M116" s="418"/>
      <c r="N116" s="1901"/>
      <c r="O116" s="1902"/>
      <c r="P116" s="995">
        <f t="shared" si="1"/>
        <v>0</v>
      </c>
      <c r="Q116" s="848" t="str">
        <f t="shared" si="2"/>
        <v/>
      </c>
      <c r="R116" s="227"/>
      <c r="S116" s="227"/>
      <c r="T116" s="227"/>
      <c r="U116" s="42">
        <f t="shared" si="3"/>
        <v>0</v>
      </c>
      <c r="V116" s="42" t="e">
        <f t="shared" si="4"/>
        <v>#DIV/0!</v>
      </c>
    </row>
    <row r="117" spans="1:22" ht="16.5" customHeight="1" x14ac:dyDescent="0.25">
      <c r="A117" s="227"/>
      <c r="B117" s="185"/>
      <c r="C117" s="418"/>
      <c r="D117" s="418"/>
      <c r="E117" s="418"/>
      <c r="F117" s="418"/>
      <c r="G117" s="418"/>
      <c r="H117" s="418"/>
      <c r="I117" s="418"/>
      <c r="J117" s="418"/>
      <c r="K117" s="418"/>
      <c r="L117" s="418"/>
      <c r="M117" s="418"/>
      <c r="N117" s="1901"/>
      <c r="O117" s="1902"/>
      <c r="P117" s="995">
        <f t="shared" si="1"/>
        <v>0</v>
      </c>
      <c r="Q117" s="848" t="str">
        <f t="shared" si="2"/>
        <v/>
      </c>
      <c r="R117" s="227"/>
      <c r="S117" s="227"/>
      <c r="T117" s="227"/>
      <c r="U117" s="42">
        <f t="shared" si="3"/>
        <v>0</v>
      </c>
      <c r="V117" s="42" t="e">
        <f t="shared" si="4"/>
        <v>#DIV/0!</v>
      </c>
    </row>
    <row r="118" spans="1:22" ht="16.5" customHeight="1" x14ac:dyDescent="0.25">
      <c r="A118" s="227"/>
      <c r="B118" s="185"/>
      <c r="C118" s="418"/>
      <c r="D118" s="418"/>
      <c r="E118" s="418"/>
      <c r="F118" s="418"/>
      <c r="G118" s="418"/>
      <c r="H118" s="418"/>
      <c r="I118" s="418"/>
      <c r="J118" s="418"/>
      <c r="K118" s="418"/>
      <c r="L118" s="418"/>
      <c r="M118" s="418"/>
      <c r="N118" s="1901"/>
      <c r="O118" s="1902"/>
      <c r="P118" s="995">
        <f t="shared" si="1"/>
        <v>0</v>
      </c>
      <c r="Q118" s="848" t="str">
        <f t="shared" si="2"/>
        <v/>
      </c>
      <c r="R118" s="227"/>
      <c r="S118" s="227"/>
      <c r="T118" s="227"/>
      <c r="U118" s="42">
        <f t="shared" si="3"/>
        <v>0</v>
      </c>
      <c r="V118" s="42" t="e">
        <f t="shared" si="4"/>
        <v>#DIV/0!</v>
      </c>
    </row>
    <row r="119" spans="1:22" ht="16.5" customHeight="1" x14ac:dyDescent="0.25">
      <c r="A119" s="227"/>
      <c r="B119" s="185"/>
      <c r="C119" s="418"/>
      <c r="D119" s="418"/>
      <c r="E119" s="418"/>
      <c r="F119" s="418"/>
      <c r="G119" s="418"/>
      <c r="H119" s="418"/>
      <c r="I119" s="418"/>
      <c r="J119" s="418"/>
      <c r="K119" s="418"/>
      <c r="L119" s="418"/>
      <c r="M119" s="418"/>
      <c r="N119" s="1901"/>
      <c r="O119" s="1902"/>
      <c r="P119" s="995">
        <f t="shared" si="1"/>
        <v>0</v>
      </c>
      <c r="Q119" s="848" t="str">
        <f t="shared" si="2"/>
        <v/>
      </c>
      <c r="R119" s="227"/>
      <c r="S119" s="227"/>
      <c r="T119" s="227"/>
      <c r="U119" s="42">
        <f t="shared" si="3"/>
        <v>0</v>
      </c>
      <c r="V119" s="42" t="e">
        <f t="shared" si="4"/>
        <v>#DIV/0!</v>
      </c>
    </row>
    <row r="120" spans="1:22" ht="16.5" customHeight="1" x14ac:dyDescent="0.25">
      <c r="A120" s="227"/>
      <c r="B120" s="185"/>
      <c r="C120" s="418"/>
      <c r="D120" s="418"/>
      <c r="E120" s="418"/>
      <c r="F120" s="418"/>
      <c r="G120" s="418"/>
      <c r="H120" s="418"/>
      <c r="I120" s="418"/>
      <c r="J120" s="418"/>
      <c r="K120" s="418"/>
      <c r="L120" s="418"/>
      <c r="M120" s="418"/>
      <c r="N120" s="1901"/>
      <c r="O120" s="1902"/>
      <c r="P120" s="995">
        <f t="shared" si="1"/>
        <v>0</v>
      </c>
      <c r="Q120" s="848" t="str">
        <f t="shared" si="2"/>
        <v/>
      </c>
      <c r="R120" s="227"/>
      <c r="S120" s="227"/>
      <c r="T120" s="227"/>
      <c r="U120" s="42">
        <f t="shared" si="3"/>
        <v>0</v>
      </c>
      <c r="V120" s="42" t="e">
        <f t="shared" si="4"/>
        <v>#DIV/0!</v>
      </c>
    </row>
    <row r="121" spans="1:22" ht="16.5" customHeight="1" x14ac:dyDescent="0.25">
      <c r="A121" s="227"/>
      <c r="B121" s="185"/>
      <c r="C121" s="418"/>
      <c r="D121" s="418"/>
      <c r="E121" s="418"/>
      <c r="F121" s="418"/>
      <c r="G121" s="418"/>
      <c r="H121" s="418"/>
      <c r="I121" s="418"/>
      <c r="J121" s="418"/>
      <c r="K121" s="418"/>
      <c r="L121" s="418"/>
      <c r="M121" s="418"/>
      <c r="N121" s="1901"/>
      <c r="O121" s="1902"/>
      <c r="P121" s="995">
        <f t="shared" si="1"/>
        <v>0</v>
      </c>
      <c r="Q121" s="848" t="str">
        <f t="shared" si="2"/>
        <v/>
      </c>
      <c r="R121" s="227"/>
      <c r="S121" s="227"/>
      <c r="T121" s="227"/>
      <c r="U121" s="42">
        <f t="shared" si="3"/>
        <v>0</v>
      </c>
      <c r="V121" s="42" t="e">
        <f t="shared" si="4"/>
        <v>#DIV/0!</v>
      </c>
    </row>
    <row r="122" spans="1:22" ht="16.5" customHeight="1" x14ac:dyDescent="0.25">
      <c r="A122" s="227"/>
      <c r="B122" s="227"/>
      <c r="C122" s="227"/>
      <c r="D122" s="227"/>
      <c r="E122" s="227"/>
      <c r="F122" s="227"/>
      <c r="G122" s="227"/>
      <c r="H122" s="227"/>
      <c r="I122" s="227"/>
      <c r="J122" s="227"/>
      <c r="K122" s="227"/>
      <c r="L122" s="227"/>
      <c r="M122" s="227"/>
      <c r="N122" s="227"/>
      <c r="O122" s="227"/>
      <c r="P122" s="227"/>
      <c r="Q122" s="227"/>
      <c r="R122" s="227"/>
      <c r="S122" s="227"/>
      <c r="T122" s="227"/>
    </row>
    <row r="123" spans="1:22" ht="19.5" customHeight="1" x14ac:dyDescent="0.25">
      <c r="A123" s="227"/>
      <c r="B123" s="1830" t="s">
        <v>659</v>
      </c>
      <c r="C123" s="1830"/>
      <c r="D123" s="1830"/>
      <c r="E123" s="311">
        <f>SUMIF(Q112:Q121,"Yes",C112:C121)</f>
        <v>0</v>
      </c>
      <c r="F123" s="227"/>
      <c r="G123" s="227"/>
      <c r="H123" s="227"/>
      <c r="I123" s="227"/>
      <c r="J123" s="227"/>
      <c r="K123" s="227"/>
      <c r="L123" s="227"/>
      <c r="M123" s="227"/>
      <c r="N123" s="227"/>
      <c r="O123" s="227"/>
      <c r="P123" s="227"/>
      <c r="Q123" s="227"/>
      <c r="R123" s="227"/>
      <c r="S123" s="227"/>
      <c r="T123" s="227"/>
    </row>
    <row r="124" spans="1:22" ht="19.5" customHeight="1" x14ac:dyDescent="0.25">
      <c r="A124" s="227"/>
      <c r="B124" s="1830" t="s">
        <v>658</v>
      </c>
      <c r="C124" s="1830"/>
      <c r="D124" s="1830"/>
      <c r="E124" s="86">
        <f>IFERROR(E123/SUM(C112:C121),0)</f>
        <v>0</v>
      </c>
      <c r="F124" s="227"/>
      <c r="G124" s="227"/>
      <c r="H124" s="227"/>
      <c r="I124" s="227"/>
      <c r="J124" s="227"/>
      <c r="K124" s="227"/>
      <c r="L124" s="227"/>
      <c r="M124" s="227"/>
      <c r="N124" s="227"/>
      <c r="O124" s="227"/>
      <c r="P124" s="227"/>
      <c r="Q124" s="227"/>
      <c r="R124" s="227"/>
      <c r="S124" s="227"/>
      <c r="T124" s="227"/>
    </row>
    <row r="125" spans="1:22" ht="18.75" customHeight="1" x14ac:dyDescent="0.25">
      <c r="A125" s="227"/>
      <c r="B125" s="227"/>
      <c r="C125" s="227"/>
      <c r="D125" s="227"/>
      <c r="E125" s="227"/>
      <c r="F125" s="227"/>
      <c r="G125" s="227"/>
      <c r="H125" s="227"/>
      <c r="I125" s="227"/>
      <c r="J125" s="227"/>
      <c r="K125" s="227"/>
      <c r="L125" s="227"/>
      <c r="M125" s="227"/>
      <c r="N125" s="227"/>
      <c r="O125" s="227"/>
      <c r="P125" s="227"/>
      <c r="Q125" s="227"/>
      <c r="R125" s="227"/>
      <c r="S125" s="227"/>
      <c r="T125" s="227"/>
    </row>
    <row r="126" spans="1:22" ht="16.5" customHeight="1" x14ac:dyDescent="0.25">
      <c r="A126" s="1877" t="s">
        <v>200</v>
      </c>
      <c r="B126" s="1877"/>
      <c r="C126" s="1877"/>
      <c r="D126" s="227"/>
      <c r="E126" s="227"/>
      <c r="F126" s="227"/>
      <c r="G126" s="227"/>
      <c r="H126" s="227"/>
      <c r="I126" s="227"/>
      <c r="J126" s="227"/>
      <c r="K126" s="227"/>
      <c r="L126" s="227"/>
      <c r="M126" s="227"/>
      <c r="N126" s="227"/>
      <c r="O126" s="227"/>
      <c r="P126" s="227"/>
      <c r="Q126" s="227"/>
      <c r="R126" s="227"/>
      <c r="S126" s="227"/>
      <c r="T126" s="227"/>
    </row>
    <row r="127" spans="1:22" x14ac:dyDescent="0.25">
      <c r="A127" s="227"/>
      <c r="B127" s="227"/>
      <c r="C127" s="227"/>
      <c r="D127" s="227"/>
      <c r="E127" s="227"/>
      <c r="F127" s="227"/>
      <c r="G127" s="227"/>
      <c r="H127" s="227"/>
      <c r="I127" s="227"/>
      <c r="J127" s="227"/>
      <c r="K127" s="227"/>
      <c r="L127" s="227"/>
      <c r="M127" s="227"/>
      <c r="N127" s="227"/>
      <c r="O127" s="227"/>
      <c r="P127" s="227"/>
      <c r="Q127" s="227"/>
      <c r="R127" s="227"/>
      <c r="S127" s="227"/>
      <c r="T127" s="227"/>
    </row>
    <row r="128" spans="1:22" ht="21" customHeight="1" x14ac:dyDescent="0.25">
      <c r="A128" s="227"/>
      <c r="B128" s="1856" t="s">
        <v>2103</v>
      </c>
      <c r="C128" s="1857"/>
      <c r="D128" s="1857"/>
      <c r="E128" s="1857"/>
      <c r="F128" s="1857"/>
      <c r="G128" s="1857"/>
      <c r="H128" s="1857"/>
      <c r="I128" s="1857"/>
      <c r="J128" s="1857"/>
      <c r="K128" s="1834" t="s">
        <v>2101</v>
      </c>
      <c r="L128" s="1834"/>
      <c r="M128" s="1904" t="s">
        <v>2102</v>
      </c>
      <c r="N128" s="1904"/>
      <c r="O128" s="1904"/>
      <c r="P128" s="1905"/>
      <c r="Q128" s="227"/>
      <c r="R128" s="227"/>
      <c r="S128" s="227"/>
      <c r="T128" s="227"/>
    </row>
    <row r="129" spans="1:20" ht="24" customHeight="1" x14ac:dyDescent="0.25">
      <c r="A129" s="227"/>
      <c r="B129" s="1899" t="s">
        <v>1267</v>
      </c>
      <c r="C129" s="1900"/>
      <c r="D129" s="1900"/>
      <c r="E129" s="1900"/>
      <c r="F129" s="1900"/>
      <c r="G129" s="1900"/>
      <c r="H129" s="1900"/>
      <c r="I129" s="1900"/>
      <c r="J129" s="1912"/>
      <c r="K129" s="1470" t="s">
        <v>129</v>
      </c>
      <c r="L129" s="1470"/>
      <c r="M129" s="1918"/>
      <c r="N129" s="1919"/>
      <c r="O129" s="1919"/>
      <c r="P129" s="1920"/>
      <c r="Q129" s="227"/>
      <c r="R129" s="227"/>
      <c r="S129" s="227"/>
      <c r="T129" s="227"/>
    </row>
    <row r="130" spans="1:20" ht="24" customHeight="1" x14ac:dyDescent="0.25">
      <c r="A130" s="227"/>
      <c r="B130" s="1899" t="s">
        <v>1974</v>
      </c>
      <c r="C130" s="1900"/>
      <c r="D130" s="1900"/>
      <c r="E130" s="1900"/>
      <c r="F130" s="1900"/>
      <c r="G130" s="1900"/>
      <c r="H130" s="1900"/>
      <c r="I130" s="1900"/>
      <c r="J130" s="1912"/>
      <c r="K130" s="1470" t="s">
        <v>129</v>
      </c>
      <c r="L130" s="1470"/>
      <c r="M130" s="1918"/>
      <c r="N130" s="1919"/>
      <c r="O130" s="1919"/>
      <c r="P130" s="1920"/>
      <c r="Q130" s="227"/>
      <c r="R130" s="227"/>
      <c r="S130" s="227"/>
      <c r="T130" s="227"/>
    </row>
    <row r="131" spans="1:20" ht="18" customHeight="1" x14ac:dyDescent="0.25">
      <c r="A131" s="227"/>
      <c r="B131" s="227"/>
      <c r="C131" s="227"/>
      <c r="D131" s="227"/>
      <c r="E131" s="227"/>
      <c r="F131" s="227"/>
      <c r="G131" s="227"/>
      <c r="H131" s="227"/>
      <c r="I131" s="227"/>
      <c r="J131" s="227"/>
      <c r="K131" s="227"/>
      <c r="L131" s="227"/>
      <c r="M131" s="227"/>
      <c r="N131" s="227"/>
      <c r="O131" s="227"/>
      <c r="P131" s="227"/>
      <c r="Q131" s="227"/>
      <c r="R131" s="227"/>
      <c r="S131" s="227"/>
      <c r="T131" s="227"/>
    </row>
    <row r="132" spans="1:20" ht="16.5" customHeight="1" x14ac:dyDescent="0.25">
      <c r="A132" s="1877" t="s">
        <v>25</v>
      </c>
      <c r="B132" s="1877"/>
      <c r="C132" s="1877"/>
      <c r="D132" s="227"/>
      <c r="E132" s="227"/>
      <c r="F132" s="227"/>
      <c r="G132" s="227"/>
      <c r="H132" s="227"/>
      <c r="I132" s="227"/>
      <c r="J132" s="227"/>
      <c r="K132" s="227"/>
      <c r="L132" s="227"/>
      <c r="M132" s="227"/>
      <c r="N132" s="227"/>
      <c r="O132" s="227"/>
      <c r="P132" s="227"/>
      <c r="Q132" s="227"/>
      <c r="R132" s="227"/>
      <c r="S132" s="227"/>
      <c r="T132" s="227"/>
    </row>
    <row r="133" spans="1:20" x14ac:dyDescent="0.25">
      <c r="A133" s="227"/>
      <c r="B133" s="227"/>
      <c r="C133" s="227"/>
      <c r="D133" s="227"/>
      <c r="E133" s="227"/>
      <c r="F133" s="227"/>
      <c r="G133" s="227"/>
      <c r="H133" s="227"/>
      <c r="I133" s="227"/>
      <c r="J133" s="227"/>
      <c r="K133" s="227"/>
      <c r="L133" s="227"/>
      <c r="M133" s="227"/>
      <c r="N133" s="227"/>
      <c r="O133" s="227"/>
      <c r="P133" s="227"/>
      <c r="Q133" s="227"/>
      <c r="R133" s="227"/>
      <c r="S133" s="227"/>
      <c r="T133" s="227"/>
    </row>
    <row r="134" spans="1:20" ht="18" customHeight="1" x14ac:dyDescent="0.25">
      <c r="A134" s="227"/>
      <c r="B134" s="271" t="s">
        <v>56</v>
      </c>
      <c r="C134" s="1906">
        <f>IF(E124&gt;=0.9,3,IF(E124&gt;=0.7,2,IF(E124&gt;=0.5,1,0)))</f>
        <v>0</v>
      </c>
      <c r="D134" s="1906"/>
      <c r="E134" s="227"/>
      <c r="F134" s="227"/>
      <c r="G134" s="227"/>
      <c r="H134" s="227"/>
      <c r="I134" s="227"/>
      <c r="J134" s="227"/>
      <c r="K134" s="227"/>
      <c r="L134" s="227"/>
      <c r="M134" s="227"/>
      <c r="N134" s="227"/>
      <c r="O134" s="227"/>
      <c r="P134" s="227"/>
      <c r="Q134" s="227"/>
      <c r="R134" s="227"/>
      <c r="S134" s="227"/>
      <c r="T134" s="227"/>
    </row>
    <row r="135" spans="1:20" ht="18" customHeight="1" x14ac:dyDescent="0.25">
      <c r="A135" s="227"/>
      <c r="B135" s="272" t="s">
        <v>521</v>
      </c>
      <c r="C135" s="1906" t="str">
        <f>IF(AND(K130="Submitted",K129="Submitted",C134&gt;0),"Yes","No")</f>
        <v>No</v>
      </c>
      <c r="D135" s="1906"/>
      <c r="E135" s="227"/>
      <c r="F135" s="227"/>
      <c r="G135" s="227"/>
      <c r="H135" s="227"/>
      <c r="I135" s="227"/>
      <c r="J135" s="227"/>
      <c r="K135" s="227"/>
      <c r="L135" s="227"/>
      <c r="M135" s="227"/>
      <c r="N135" s="227"/>
      <c r="O135" s="227"/>
      <c r="P135" s="227"/>
      <c r="Q135" s="227"/>
      <c r="R135" s="227"/>
      <c r="S135" s="227"/>
      <c r="T135" s="227"/>
    </row>
    <row r="136" spans="1:20" x14ac:dyDescent="0.25">
      <c r="A136" s="227"/>
      <c r="B136" s="227"/>
      <c r="C136" s="227"/>
      <c r="D136" s="227"/>
      <c r="E136" s="227"/>
      <c r="F136" s="227"/>
      <c r="G136" s="227"/>
      <c r="H136" s="227"/>
      <c r="I136" s="227"/>
      <c r="J136" s="227"/>
      <c r="K136" s="227"/>
      <c r="L136" s="227"/>
      <c r="M136" s="227"/>
      <c r="N136" s="227"/>
      <c r="O136" s="227"/>
      <c r="P136" s="227"/>
      <c r="Q136" s="227"/>
      <c r="R136" s="227"/>
      <c r="S136" s="227"/>
      <c r="T136" s="227"/>
    </row>
    <row r="137" spans="1:20" hidden="1" x14ac:dyDescent="0.25">
      <c r="A137" s="227"/>
      <c r="B137" s="227"/>
      <c r="C137" s="227"/>
      <c r="D137" s="227"/>
      <c r="E137" s="227"/>
      <c r="F137" s="227"/>
      <c r="G137" s="227"/>
      <c r="H137" s="227"/>
      <c r="I137" s="227"/>
      <c r="J137" s="227"/>
      <c r="K137" s="227"/>
      <c r="L137" s="227"/>
      <c r="M137" s="227"/>
      <c r="N137" s="227"/>
      <c r="O137" s="227"/>
      <c r="P137" s="227"/>
      <c r="Q137" s="227"/>
      <c r="R137" s="227"/>
      <c r="S137" s="227"/>
      <c r="T137" s="227"/>
    </row>
    <row r="138" spans="1:20" hidden="1" x14ac:dyDescent="0.25">
      <c r="A138" s="227"/>
      <c r="B138" s="227"/>
      <c r="C138" s="227"/>
      <c r="D138" s="227"/>
      <c r="E138" s="227"/>
      <c r="F138" s="227"/>
      <c r="G138" s="227"/>
      <c r="H138" s="227"/>
      <c r="I138" s="227"/>
      <c r="J138" s="227"/>
      <c r="K138" s="227"/>
      <c r="L138" s="227"/>
      <c r="M138" s="227"/>
      <c r="N138" s="227"/>
      <c r="O138" s="227"/>
      <c r="P138" s="227"/>
      <c r="Q138" s="227"/>
      <c r="R138" s="227"/>
      <c r="S138" s="227"/>
      <c r="T138" s="227"/>
    </row>
    <row r="139" spans="1:20" ht="15" hidden="1" customHeight="1" x14ac:dyDescent="0.25"/>
    <row r="140" spans="1:20" ht="15" hidden="1" customHeight="1" x14ac:dyDescent="0.25"/>
    <row r="141" spans="1:20" ht="15" hidden="1" customHeight="1" x14ac:dyDescent="0.25"/>
    <row r="142" spans="1:20" ht="15" hidden="1" customHeight="1" x14ac:dyDescent="0.25"/>
    <row r="143" spans="1:20" ht="15" hidden="1" customHeight="1" x14ac:dyDescent="0.25"/>
    <row r="144" spans="1:20"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sheetData>
  <sheetProtection algorithmName="SHA-512" hashValue="Ip6qWMg1cAP6lgPicU0PfOQWKRHEfVwP3p6XzKAyzPyplSimoClRYQVLEa9O1Vha5YA2YFRaqSj2pjJq1PVQOg==" saltValue="0E4+XENtcbTXRwB/eIk3AA==" spinCount="100000" sheet="1" objects="1" scenarios="1"/>
  <mergeCells count="127">
    <mergeCell ref="M129:P129"/>
    <mergeCell ref="M130:P130"/>
    <mergeCell ref="M2:P4"/>
    <mergeCell ref="P110:P111"/>
    <mergeCell ref="B83:D83"/>
    <mergeCell ref="B84:D84"/>
    <mergeCell ref="B100:L101"/>
    <mergeCell ref="B53:E53"/>
    <mergeCell ref="G34:P36"/>
    <mergeCell ref="G37:P38"/>
    <mergeCell ref="B54:E54"/>
    <mergeCell ref="B34:E39"/>
    <mergeCell ref="G39:P42"/>
    <mergeCell ref="D79:E79"/>
    <mergeCell ref="D80:E80"/>
    <mergeCell ref="D76:E76"/>
    <mergeCell ref="F76:H76"/>
    <mergeCell ref="D77:E77"/>
    <mergeCell ref="F77:H77"/>
    <mergeCell ref="B51:E51"/>
    <mergeCell ref="G63:K64"/>
    <mergeCell ref="B13:H13"/>
    <mergeCell ref="B14:H14"/>
    <mergeCell ref="I13:J13"/>
    <mergeCell ref="A9:R9"/>
    <mergeCell ref="A19:R19"/>
    <mergeCell ref="I14:J14"/>
    <mergeCell ref="B11:D11"/>
    <mergeCell ref="B17:H17"/>
    <mergeCell ref="F71:H71"/>
    <mergeCell ref="F72:H72"/>
    <mergeCell ref="F79:H79"/>
    <mergeCell ref="I17:J17"/>
    <mergeCell ref="A26:R26"/>
    <mergeCell ref="I71:J71"/>
    <mergeCell ref="M88:P88"/>
    <mergeCell ref="M89:P89"/>
    <mergeCell ref="V110:V111"/>
    <mergeCell ref="Q110:Q111"/>
    <mergeCell ref="J110:J111"/>
    <mergeCell ref="K110:M110"/>
    <mergeCell ref="K89:L89"/>
    <mergeCell ref="I110:I111"/>
    <mergeCell ref="B89:J89"/>
    <mergeCell ref="C93:D93"/>
    <mergeCell ref="C94:D94"/>
    <mergeCell ref="A103:C103"/>
    <mergeCell ref="A91:C91"/>
    <mergeCell ref="B110:B111"/>
    <mergeCell ref="C110:C111"/>
    <mergeCell ref="D110:D111"/>
    <mergeCell ref="E110:E111"/>
    <mergeCell ref="F110:H110"/>
    <mergeCell ref="U110:U111"/>
    <mergeCell ref="N110:O111"/>
    <mergeCell ref="C135:D135"/>
    <mergeCell ref="B129:J129"/>
    <mergeCell ref="B16:H16"/>
    <mergeCell ref="I16:J16"/>
    <mergeCell ref="D81:E81"/>
    <mergeCell ref="I77:J77"/>
    <mergeCell ref="F80:H80"/>
    <mergeCell ref="F81:H81"/>
    <mergeCell ref="D73:E73"/>
    <mergeCell ref="F73:H73"/>
    <mergeCell ref="D78:E78"/>
    <mergeCell ref="F78:H78"/>
    <mergeCell ref="D74:E74"/>
    <mergeCell ref="I75:J75"/>
    <mergeCell ref="I76:J76"/>
    <mergeCell ref="A132:C132"/>
    <mergeCell ref="A28:C28"/>
    <mergeCell ref="D71:E71"/>
    <mergeCell ref="D72:E72"/>
    <mergeCell ref="B108:D108"/>
    <mergeCell ref="E108:G108"/>
    <mergeCell ref="I80:J80"/>
    <mergeCell ref="B130:J130"/>
    <mergeCell ref="A96:R96"/>
    <mergeCell ref="A1:R1"/>
    <mergeCell ref="C134:D134"/>
    <mergeCell ref="M63:Q64"/>
    <mergeCell ref="E11:F11"/>
    <mergeCell ref="M17:N17"/>
    <mergeCell ref="K13:L13"/>
    <mergeCell ref="K14:L14"/>
    <mergeCell ref="K16:L16"/>
    <mergeCell ref="K17:L17"/>
    <mergeCell ref="M13:N13"/>
    <mergeCell ref="M14:N14"/>
    <mergeCell ref="M16:N16"/>
    <mergeCell ref="K129:L129"/>
    <mergeCell ref="A5:R7"/>
    <mergeCell ref="I72:J72"/>
    <mergeCell ref="I73:J73"/>
    <mergeCell ref="I78:J78"/>
    <mergeCell ref="B21:I21"/>
    <mergeCell ref="B22:I22"/>
    <mergeCell ref="B23:I23"/>
    <mergeCell ref="B24:I24"/>
    <mergeCell ref="A65:C65"/>
    <mergeCell ref="K88:L88"/>
    <mergeCell ref="K130:L130"/>
    <mergeCell ref="B128:J128"/>
    <mergeCell ref="K128:L128"/>
    <mergeCell ref="N120:O120"/>
    <mergeCell ref="B123:D123"/>
    <mergeCell ref="B124:D124"/>
    <mergeCell ref="I79:J79"/>
    <mergeCell ref="I74:J74"/>
    <mergeCell ref="F74:H74"/>
    <mergeCell ref="D75:E75"/>
    <mergeCell ref="F75:H75"/>
    <mergeCell ref="A126:C126"/>
    <mergeCell ref="N121:O121"/>
    <mergeCell ref="N116:O116"/>
    <mergeCell ref="N117:O117"/>
    <mergeCell ref="N112:O112"/>
    <mergeCell ref="N113:O113"/>
    <mergeCell ref="N114:O114"/>
    <mergeCell ref="N115:O115"/>
    <mergeCell ref="A86:C86"/>
    <mergeCell ref="I81:J81"/>
    <mergeCell ref="N119:O119"/>
    <mergeCell ref="M128:P128"/>
    <mergeCell ref="N118:O118"/>
    <mergeCell ref="B88:J88"/>
  </mergeCells>
  <conditionalFormatting sqref="N112:O121">
    <cfRule type="expression" dxfId="98" priority="8">
      <formula>$E$108="Spreadsheet calculations"</formula>
    </cfRule>
  </conditionalFormatting>
  <conditionalFormatting sqref="M88">
    <cfRule type="expression" dxfId="97" priority="4">
      <formula>#REF!&lt;&gt;"Prescriptive Path"</formula>
    </cfRule>
  </conditionalFormatting>
  <conditionalFormatting sqref="K88:L88">
    <cfRule type="expression" dxfId="96" priority="3">
      <formula>#REF!&lt;&gt;"Prescriptive Path"</formula>
    </cfRule>
  </conditionalFormatting>
  <conditionalFormatting sqref="M128">
    <cfRule type="expression" dxfId="95" priority="2">
      <formula>#REF!&lt;&gt;"Prescriptive Path"</formula>
    </cfRule>
  </conditionalFormatting>
  <conditionalFormatting sqref="K128:L128">
    <cfRule type="expression" dxfId="94" priority="1">
      <formula>#REF!&lt;&gt;"Prescriptive Path"</formula>
    </cfRule>
  </conditionalFormatting>
  <dataValidations xWindow="730" yWindow="561" count="9">
    <dataValidation type="list" allowBlank="1" showInputMessage="1" showErrorMessage="1" sqref="E11">
      <formula1>"Select,Prescriptive Path, Performance Path"</formula1>
    </dataValidation>
    <dataValidation allowBlank="1" showInputMessage="1" showErrorMessage="1" prompt="To be compliant, rooms need to have a daylit zone area of more than 50% of their floor area" sqref="I71:J81"/>
    <dataValidation allowBlank="1" showInputMessage="1" showErrorMessage="1" prompt="Angle of visible sky from the mid-point of the window [degrees]" sqref="E110:E111"/>
    <dataValidation allowBlank="1" showInputMessage="1" showErrorMessage="1" prompt="Maintenance factor. This factor considers the dirt on the exterior surface of the glass and takes into account the location of the building, the use of the room and the slope of the fenestration " sqref="I110:I111"/>
    <dataValidation allowBlank="1" showInputMessage="1" showErrorMessage="1" prompt="Visible light transmission (Values of Table in Resources can be used if manufacturer’s data is not available)" sqref="J110:J111"/>
    <dataValidation allowBlank="1" showInputMessage="1" showErrorMessage="1" prompt="Reflectance of surrounding room surfaces _x000a_(recommended values in Resources can be used)" sqref="K110:M110"/>
    <dataValidation type="list" allowBlank="1" showInputMessage="1" showErrorMessage="1" sqref="E108:G108">
      <formula1>"Select,Daylight modelling software, Spreadsheet calculations"</formula1>
    </dataValidation>
    <dataValidation allowBlank="1" showInputMessage="1" showErrorMessage="1" prompt="Complete only if a daylight modelling software is used to calculate the daylight factor" sqref="N110:O121"/>
    <dataValidation type="list" allowBlank="1" showInputMessage="1" showErrorMessage="1" sqref="K89:L89 K129:L130">
      <formula1>"Select,Submitted,Not submitted"</formula1>
    </dataValidation>
  </dataValidations>
  <hyperlinks>
    <hyperlink ref="R3" location="'H&amp;C BPC'!D3" tooltip="BPC" display="BPC"/>
    <hyperlink ref="R2" location="'H-5 Acoustic Comfort'!E3" tooltip="H-5" display="H-5"/>
    <hyperlink ref="Q3" location="'H-2 Ventilation in wet areas'!E3" tooltip="H-2" display="H-2"/>
    <hyperlink ref="Q2" location="'H-1 Fresh Air Supply'!B3" tooltip="H-1" display="H-1"/>
    <hyperlink ref="Q4" location="'H-3 Low-VOC Emissions '!B3" tooltip="H-3" display="H-3"/>
  </hyperlinks>
  <pageMargins left="0.7" right="0.7" top="0.75" bottom="0.75" header="0.3" footer="0.3"/>
  <pageSetup orientation="portrait" verticalDpi="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943634"/>
  </sheetPr>
  <dimension ref="A1:S325"/>
  <sheetViews>
    <sheetView showRowColHeaders="0" workbookViewId="0">
      <pane ySplit="8" topLeftCell="A60" activePane="bottomLeft" state="frozen"/>
      <selection pane="bottomLeft" activeCell="H72" sqref="H72:I72"/>
    </sheetView>
  </sheetViews>
  <sheetFormatPr defaultColWidth="0" defaultRowHeight="15" customHeight="1" zeroHeight="1" x14ac:dyDescent="0.25"/>
  <cols>
    <col min="1" max="1" width="4.7109375" style="42" customWidth="1"/>
    <col min="2" max="3" width="18.28515625" style="42" customWidth="1"/>
    <col min="4" max="6" width="18.42578125" style="42" customWidth="1"/>
    <col min="7" max="7" width="19.42578125" style="42" customWidth="1"/>
    <col min="8" max="8" width="24.28515625" style="42" customWidth="1"/>
    <col min="9" max="9" width="15.42578125" style="42" customWidth="1"/>
    <col min="10" max="10" width="11.85546875" style="42" customWidth="1"/>
    <col min="11" max="12" width="9.140625" style="42" customWidth="1"/>
    <col min="13" max="16384" width="9.140625" style="42" hidden="1"/>
  </cols>
  <sheetData>
    <row r="1" spans="1:19" ht="23.25" x14ac:dyDescent="0.25">
      <c r="A1" s="1207" t="s">
        <v>808</v>
      </c>
      <c r="B1" s="1207"/>
      <c r="C1" s="1207"/>
      <c r="D1" s="1207"/>
      <c r="E1" s="1207"/>
      <c r="F1" s="1207"/>
      <c r="G1" s="1207"/>
      <c r="H1" s="1207"/>
      <c r="I1" s="1207"/>
      <c r="J1" s="1207"/>
      <c r="K1" s="1207"/>
      <c r="L1" s="1207"/>
    </row>
    <row r="2" spans="1:19" ht="15" customHeight="1" x14ac:dyDescent="0.25">
      <c r="A2" s="53"/>
      <c r="B2" s="54"/>
      <c r="C2" s="54"/>
      <c r="D2" s="54"/>
      <c r="E2" s="54"/>
      <c r="F2" s="1073"/>
      <c r="G2" s="1073"/>
      <c r="H2" s="1426" t="s">
        <v>844</v>
      </c>
      <c r="I2" s="1426"/>
      <c r="J2" s="1426"/>
      <c r="K2" s="822" t="s">
        <v>83</v>
      </c>
      <c r="L2" s="822" t="s">
        <v>95</v>
      </c>
    </row>
    <row r="3" spans="1:19" ht="15" customHeight="1" x14ac:dyDescent="0.25">
      <c r="A3" s="53"/>
      <c r="B3" s="54"/>
      <c r="C3" s="54"/>
      <c r="D3" s="54"/>
      <c r="E3" s="54"/>
      <c r="F3" s="1073"/>
      <c r="G3" s="1073"/>
      <c r="H3" s="1426"/>
      <c r="I3" s="1426"/>
      <c r="J3" s="1426"/>
      <c r="K3" s="822" t="s">
        <v>85</v>
      </c>
      <c r="L3" s="822" t="s">
        <v>79</v>
      </c>
    </row>
    <row r="4" spans="1:19" ht="15" customHeight="1" x14ac:dyDescent="0.25">
      <c r="A4" s="53"/>
      <c r="B4" s="54"/>
      <c r="C4" s="54"/>
      <c r="D4" s="54"/>
      <c r="E4" s="54"/>
      <c r="F4" s="1074"/>
      <c r="G4" s="1074"/>
      <c r="H4" s="1427"/>
      <c r="I4" s="1427"/>
      <c r="J4" s="1427"/>
      <c r="K4" s="822" t="s">
        <v>90</v>
      </c>
      <c r="L4" s="823"/>
    </row>
    <row r="5" spans="1:19" ht="18" customHeight="1" x14ac:dyDescent="0.25">
      <c r="A5" s="1417" t="s">
        <v>2421</v>
      </c>
      <c r="B5" s="1418"/>
      <c r="C5" s="1418"/>
      <c r="D5" s="1418"/>
      <c r="E5" s="1418"/>
      <c r="F5" s="1418"/>
      <c r="G5" s="1418"/>
      <c r="H5" s="1418"/>
      <c r="I5" s="1418"/>
      <c r="J5" s="1418"/>
      <c r="K5" s="1418"/>
      <c r="L5" s="1418"/>
      <c r="M5" s="193"/>
      <c r="N5" s="193"/>
      <c r="O5" s="193"/>
      <c r="P5" s="193"/>
      <c r="Q5" s="193"/>
      <c r="R5" s="193"/>
      <c r="S5" s="194"/>
    </row>
    <row r="6" spans="1:19" ht="18" customHeight="1" x14ac:dyDescent="0.25">
      <c r="A6" s="1420"/>
      <c r="B6" s="1421"/>
      <c r="C6" s="1421"/>
      <c r="D6" s="1421"/>
      <c r="E6" s="1421"/>
      <c r="F6" s="1421"/>
      <c r="G6" s="1421"/>
      <c r="H6" s="1421"/>
      <c r="I6" s="1421"/>
      <c r="J6" s="1421"/>
      <c r="K6" s="1421"/>
      <c r="L6" s="1421"/>
      <c r="M6" s="195"/>
      <c r="N6" s="195"/>
      <c r="O6" s="195"/>
      <c r="P6" s="195"/>
      <c r="Q6" s="195"/>
      <c r="R6" s="195"/>
      <c r="S6" s="196"/>
    </row>
    <row r="7" spans="1:19" ht="18" customHeight="1" x14ac:dyDescent="0.25">
      <c r="A7" s="1423"/>
      <c r="B7" s="1424"/>
      <c r="C7" s="1424"/>
      <c r="D7" s="1424"/>
      <c r="E7" s="1424"/>
      <c r="F7" s="1424"/>
      <c r="G7" s="1424"/>
      <c r="H7" s="1424"/>
      <c r="I7" s="1424"/>
      <c r="J7" s="1424"/>
      <c r="K7" s="1424"/>
      <c r="L7" s="1424"/>
      <c r="M7" s="197"/>
      <c r="N7" s="197"/>
      <c r="O7" s="197"/>
      <c r="P7" s="197"/>
      <c r="Q7" s="197"/>
      <c r="R7" s="197"/>
      <c r="S7" s="198"/>
    </row>
    <row r="8" spans="1:19" ht="12" customHeight="1" x14ac:dyDescent="0.25">
      <c r="A8" s="53"/>
      <c r="B8" s="54"/>
      <c r="C8" s="54"/>
      <c r="D8" s="54"/>
      <c r="E8" s="54"/>
      <c r="F8" s="53"/>
      <c r="G8" s="53"/>
      <c r="H8" s="53"/>
      <c r="I8" s="53"/>
      <c r="J8" s="53"/>
      <c r="K8" s="53"/>
      <c r="L8" s="53"/>
    </row>
    <row r="9" spans="1:19" ht="18" customHeight="1" x14ac:dyDescent="0.25">
      <c r="A9" s="1831" t="s">
        <v>191</v>
      </c>
      <c r="B9" s="1831"/>
      <c r="C9" s="1831"/>
      <c r="D9" s="1831"/>
      <c r="E9" s="1831"/>
      <c r="F9" s="1831"/>
      <c r="G9" s="1831"/>
      <c r="H9" s="1831"/>
      <c r="I9" s="1831"/>
      <c r="J9" s="1831"/>
      <c r="K9" s="1831"/>
      <c r="L9" s="1831"/>
    </row>
    <row r="10" spans="1:19" x14ac:dyDescent="0.25">
      <c r="A10" s="53"/>
      <c r="B10" s="54"/>
      <c r="C10" s="54"/>
      <c r="D10" s="54"/>
      <c r="E10" s="54"/>
      <c r="F10" s="53"/>
      <c r="G10" s="53"/>
      <c r="H10" s="53"/>
      <c r="I10" s="53"/>
      <c r="J10" s="53"/>
      <c r="K10" s="53"/>
      <c r="L10" s="53"/>
    </row>
    <row r="11" spans="1:19" ht="21" customHeight="1" x14ac:dyDescent="0.25">
      <c r="A11" s="53"/>
      <c r="B11" s="1859" t="s">
        <v>192</v>
      </c>
      <c r="C11" s="1860"/>
      <c r="D11" s="1860"/>
      <c r="E11" s="1860"/>
      <c r="F11" s="651" t="s">
        <v>157</v>
      </c>
      <c r="G11" s="651" t="s">
        <v>56</v>
      </c>
      <c r="H11" s="55" t="s">
        <v>521</v>
      </c>
      <c r="I11" s="53"/>
      <c r="J11" s="53"/>
      <c r="K11" s="53"/>
      <c r="L11" s="53"/>
    </row>
    <row r="12" spans="1:19" ht="30.75" customHeight="1" x14ac:dyDescent="0.25">
      <c r="A12" s="53"/>
      <c r="B12" s="1622" t="s">
        <v>809</v>
      </c>
      <c r="C12" s="1623" t="s">
        <v>133</v>
      </c>
      <c r="D12" s="1623" t="s">
        <v>133</v>
      </c>
      <c r="E12" s="1624" t="s">
        <v>133</v>
      </c>
      <c r="F12" s="435">
        <v>1</v>
      </c>
      <c r="G12" s="435">
        <f>C77</f>
        <v>0</v>
      </c>
      <c r="H12" s="435" t="str">
        <f>C78</f>
        <v>No</v>
      </c>
      <c r="I12" s="53"/>
      <c r="J12" s="53"/>
      <c r="K12" s="53"/>
      <c r="L12" s="53"/>
    </row>
    <row r="13" spans="1:19" x14ac:dyDescent="0.25">
      <c r="A13" s="53"/>
      <c r="B13" s="54"/>
      <c r="C13" s="54"/>
      <c r="D13" s="54"/>
      <c r="E13" s="54"/>
      <c r="F13" s="53"/>
      <c r="G13" s="53"/>
      <c r="H13" s="53"/>
      <c r="I13" s="53"/>
      <c r="J13" s="53"/>
      <c r="K13" s="53"/>
      <c r="L13" s="53"/>
    </row>
    <row r="14" spans="1:19" ht="18" customHeight="1" x14ac:dyDescent="0.25">
      <c r="A14" s="1831" t="s">
        <v>265</v>
      </c>
      <c r="B14" s="1831"/>
      <c r="C14" s="1831"/>
      <c r="D14" s="1831"/>
      <c r="E14" s="1831"/>
      <c r="F14" s="1831"/>
      <c r="G14" s="1831"/>
      <c r="H14" s="1831"/>
      <c r="I14" s="1831"/>
      <c r="J14" s="1831"/>
      <c r="K14" s="1831"/>
      <c r="L14" s="1831"/>
    </row>
    <row r="15" spans="1:19" x14ac:dyDescent="0.25">
      <c r="A15" s="53"/>
      <c r="B15" s="54"/>
      <c r="C15" s="54"/>
      <c r="D15" s="54"/>
      <c r="E15" s="54"/>
      <c r="F15" s="53"/>
      <c r="G15" s="53"/>
      <c r="H15" s="53"/>
      <c r="I15" s="53"/>
      <c r="J15" s="53"/>
      <c r="K15" s="53"/>
      <c r="L15" s="53"/>
    </row>
    <row r="16" spans="1:19" x14ac:dyDescent="0.25">
      <c r="A16" s="53"/>
      <c r="B16" s="892" t="s">
        <v>1678</v>
      </c>
      <c r="C16" s="54"/>
      <c r="D16" s="54"/>
      <c r="E16" s="54"/>
      <c r="F16" s="53"/>
      <c r="G16" s="53"/>
      <c r="H16" s="53"/>
      <c r="I16" s="53"/>
      <c r="J16" s="53"/>
      <c r="K16" s="53"/>
      <c r="L16" s="53"/>
    </row>
    <row r="17" spans="1:16" ht="12.75" customHeight="1" x14ac:dyDescent="0.25">
      <c r="A17" s="53"/>
      <c r="B17" s="54"/>
      <c r="C17" s="54"/>
      <c r="D17" s="54"/>
      <c r="E17" s="54"/>
      <c r="F17" s="53"/>
      <c r="G17" s="53"/>
      <c r="H17" s="53"/>
      <c r="I17" s="53"/>
      <c r="J17" s="53"/>
      <c r="K17" s="53"/>
      <c r="L17" s="53"/>
    </row>
    <row r="18" spans="1:16" x14ac:dyDescent="0.25">
      <c r="A18" s="53"/>
      <c r="B18" s="1945" t="s">
        <v>1677</v>
      </c>
      <c r="C18" s="1946"/>
      <c r="D18" s="1946"/>
      <c r="E18" s="1946"/>
      <c r="F18" s="1946"/>
      <c r="G18" s="1946"/>
      <c r="H18" s="1946"/>
      <c r="I18" s="1946"/>
      <c r="J18" s="1947"/>
      <c r="K18" s="53"/>
      <c r="L18" s="53"/>
    </row>
    <row r="19" spans="1:16" x14ac:dyDescent="0.25">
      <c r="A19" s="53"/>
      <c r="B19" s="1508"/>
      <c r="C19" s="1509"/>
      <c r="D19" s="1509"/>
      <c r="E19" s="1509"/>
      <c r="F19" s="1509"/>
      <c r="G19" s="1509"/>
      <c r="H19" s="1509"/>
      <c r="I19" s="1509"/>
      <c r="J19" s="1510"/>
      <c r="K19" s="53"/>
      <c r="L19" s="53"/>
    </row>
    <row r="20" spans="1:16" x14ac:dyDescent="0.25">
      <c r="A20" s="53"/>
      <c r="B20" s="1508" t="s">
        <v>1689</v>
      </c>
      <c r="C20" s="1509"/>
      <c r="D20" s="1509"/>
      <c r="E20" s="1509"/>
      <c r="F20" s="1509"/>
      <c r="G20" s="1509"/>
      <c r="H20" s="1509"/>
      <c r="I20" s="1509"/>
      <c r="J20" s="1510"/>
      <c r="K20" s="53"/>
      <c r="L20" s="53"/>
    </row>
    <row r="21" spans="1:16" x14ac:dyDescent="0.25">
      <c r="A21" s="53"/>
      <c r="B21" s="1511"/>
      <c r="C21" s="1512"/>
      <c r="D21" s="1512"/>
      <c r="E21" s="1512"/>
      <c r="F21" s="1512"/>
      <c r="G21" s="1512"/>
      <c r="H21" s="1512"/>
      <c r="I21" s="1512"/>
      <c r="J21" s="1513"/>
      <c r="K21" s="53"/>
      <c r="L21" s="53"/>
    </row>
    <row r="22" spans="1:16" x14ac:dyDescent="0.25">
      <c r="A22" s="53"/>
      <c r="B22" s="676"/>
      <c r="C22" s="676"/>
      <c r="D22" s="676"/>
      <c r="E22" s="676"/>
      <c r="F22" s="676"/>
      <c r="G22" s="676"/>
      <c r="H22" s="676"/>
      <c r="I22" s="676"/>
      <c r="J22" s="676"/>
      <c r="K22" s="53"/>
      <c r="L22" s="53"/>
    </row>
    <row r="23" spans="1:16" x14ac:dyDescent="0.25">
      <c r="A23" s="53"/>
      <c r="B23" s="1944" t="s">
        <v>1679</v>
      </c>
      <c r="C23" s="1944"/>
      <c r="D23" s="1944"/>
      <c r="E23" s="54"/>
      <c r="F23" s="1948" t="s">
        <v>1680</v>
      </c>
      <c r="G23" s="1948"/>
      <c r="H23" s="1948"/>
      <c r="I23" s="1948"/>
      <c r="J23" s="1948"/>
      <c r="K23" s="1948"/>
      <c r="L23" s="1948"/>
    </row>
    <row r="24" spans="1:16" ht="18" customHeight="1" x14ac:dyDescent="0.25">
      <c r="A24" s="53"/>
      <c r="B24" s="1944"/>
      <c r="C24" s="1944"/>
      <c r="D24" s="1944"/>
      <c r="E24" s="53"/>
      <c r="F24" s="53"/>
      <c r="G24" s="438" t="s">
        <v>810</v>
      </c>
      <c r="H24" s="1949" t="s">
        <v>815</v>
      </c>
      <c r="I24" s="1949"/>
      <c r="J24" s="1949"/>
      <c r="K24" s="53"/>
      <c r="L24" s="53"/>
    </row>
    <row r="25" spans="1:16" ht="19.5" customHeight="1" x14ac:dyDescent="0.25">
      <c r="A25" s="53"/>
      <c r="B25" s="1943" t="s">
        <v>810</v>
      </c>
      <c r="C25" s="1943" t="s">
        <v>811</v>
      </c>
      <c r="D25" s="1943" t="s">
        <v>1126</v>
      </c>
      <c r="E25" s="53"/>
      <c r="F25" s="53"/>
      <c r="G25" s="1518" t="s">
        <v>812</v>
      </c>
      <c r="H25" s="1950" t="s">
        <v>1681</v>
      </c>
      <c r="I25" s="1951"/>
      <c r="J25" s="1952"/>
      <c r="K25" s="53"/>
      <c r="L25" s="53"/>
      <c r="N25" s="1943" t="s">
        <v>810</v>
      </c>
      <c r="O25" s="1943" t="s">
        <v>811</v>
      </c>
      <c r="P25" s="1943" t="s">
        <v>1126</v>
      </c>
    </row>
    <row r="26" spans="1:16" ht="19.5" customHeight="1" x14ac:dyDescent="0.25">
      <c r="A26" s="53"/>
      <c r="B26" s="1943"/>
      <c r="C26" s="1943"/>
      <c r="D26" s="1943"/>
      <c r="E26" s="53"/>
      <c r="F26" s="53"/>
      <c r="G26" s="1518"/>
      <c r="H26" s="1953"/>
      <c r="I26" s="1954"/>
      <c r="J26" s="1955"/>
      <c r="K26" s="53"/>
      <c r="L26" s="53"/>
      <c r="N26" s="1943"/>
      <c r="O26" s="1943"/>
      <c r="P26" s="1943"/>
    </row>
    <row r="27" spans="1:16" ht="19.5" customHeight="1" x14ac:dyDescent="0.25">
      <c r="A27" s="53"/>
      <c r="B27" s="440" t="s">
        <v>812</v>
      </c>
      <c r="C27" s="440" t="s">
        <v>824</v>
      </c>
      <c r="D27" s="440" t="s">
        <v>829</v>
      </c>
      <c r="E27" s="53"/>
      <c r="F27" s="53"/>
      <c r="G27" s="1518" t="s">
        <v>813</v>
      </c>
      <c r="H27" s="1950" t="s">
        <v>1682</v>
      </c>
      <c r="I27" s="1951"/>
      <c r="J27" s="1952"/>
      <c r="K27" s="53"/>
      <c r="L27" s="53"/>
      <c r="N27" s="893" t="s">
        <v>812</v>
      </c>
      <c r="O27" s="893">
        <v>55</v>
      </c>
      <c r="P27" s="893">
        <v>58</v>
      </c>
    </row>
    <row r="28" spans="1:16" ht="19.5" customHeight="1" x14ac:dyDescent="0.25">
      <c r="A28" s="53"/>
      <c r="B28" s="440" t="s">
        <v>813</v>
      </c>
      <c r="C28" s="440" t="s">
        <v>825</v>
      </c>
      <c r="D28" s="440" t="s">
        <v>828</v>
      </c>
      <c r="E28" s="53"/>
      <c r="F28" s="53"/>
      <c r="G28" s="1518"/>
      <c r="H28" s="1956"/>
      <c r="I28" s="1957"/>
      <c r="J28" s="1958"/>
      <c r="K28" s="53"/>
      <c r="L28" s="53"/>
      <c r="N28" s="893" t="s">
        <v>813</v>
      </c>
      <c r="O28" s="893">
        <v>50</v>
      </c>
      <c r="P28" s="893">
        <v>62</v>
      </c>
    </row>
    <row r="29" spans="1:16" ht="19.5" customHeight="1" x14ac:dyDescent="0.25">
      <c r="A29" s="53"/>
      <c r="B29" s="440" t="s">
        <v>814</v>
      </c>
      <c r="C29" s="440" t="s">
        <v>826</v>
      </c>
      <c r="D29" s="440" t="s">
        <v>827</v>
      </c>
      <c r="E29" s="53"/>
      <c r="F29" s="53"/>
      <c r="G29" s="1518"/>
      <c r="H29" s="1953"/>
      <c r="I29" s="1954"/>
      <c r="J29" s="1955"/>
      <c r="K29" s="53"/>
      <c r="L29" s="53"/>
      <c r="N29" s="893" t="s">
        <v>814</v>
      </c>
      <c r="O29" s="893">
        <v>45</v>
      </c>
      <c r="P29" s="893">
        <v>66</v>
      </c>
    </row>
    <row r="30" spans="1:16" ht="18" customHeight="1" x14ac:dyDescent="0.25">
      <c r="A30" s="53"/>
      <c r="B30" s="54"/>
      <c r="C30" s="54"/>
      <c r="D30" s="54"/>
      <c r="E30" s="54"/>
      <c r="F30" s="53"/>
      <c r="G30" s="1518" t="s">
        <v>814</v>
      </c>
      <c r="H30" s="1950" t="s">
        <v>816</v>
      </c>
      <c r="I30" s="1951"/>
      <c r="J30" s="1952"/>
      <c r="K30" s="53"/>
      <c r="L30" s="53"/>
    </row>
    <row r="31" spans="1:16" ht="18" customHeight="1" x14ac:dyDescent="0.25">
      <c r="A31" s="53"/>
      <c r="B31" s="54"/>
      <c r="C31" s="54"/>
      <c r="D31" s="54"/>
      <c r="E31" s="54"/>
      <c r="F31" s="54"/>
      <c r="G31" s="1518"/>
      <c r="H31" s="1953"/>
      <c r="I31" s="1954"/>
      <c r="J31" s="1955"/>
      <c r="K31" s="53"/>
      <c r="L31" s="53"/>
    </row>
    <row r="32" spans="1:16" ht="18" customHeight="1" x14ac:dyDescent="0.25">
      <c r="A32" s="53"/>
      <c r="B32" s="54"/>
      <c r="C32" s="54"/>
      <c r="D32" s="54"/>
      <c r="E32" s="54"/>
      <c r="F32" s="54"/>
      <c r="G32" s="54"/>
      <c r="H32" s="54"/>
      <c r="I32" s="54"/>
      <c r="J32" s="54"/>
      <c r="K32" s="53"/>
      <c r="L32" s="53"/>
    </row>
    <row r="33" spans="1:12" ht="18" customHeight="1" x14ac:dyDescent="0.25">
      <c r="A33" s="53"/>
      <c r="B33" s="709" t="s">
        <v>817</v>
      </c>
      <c r="C33" s="638"/>
      <c r="D33" s="638"/>
      <c r="E33" s="638"/>
      <c r="F33" s="638"/>
      <c r="G33" s="638"/>
      <c r="H33" s="638"/>
      <c r="I33" s="639"/>
      <c r="J33" s="54"/>
      <c r="K33" s="53"/>
      <c r="L33" s="53"/>
    </row>
    <row r="34" spans="1:12" ht="16.5" customHeight="1" x14ac:dyDescent="0.25">
      <c r="A34" s="53"/>
      <c r="B34" s="710" t="s">
        <v>818</v>
      </c>
      <c r="C34" s="635"/>
      <c r="D34" s="635"/>
      <c r="E34" s="635"/>
      <c r="F34" s="635"/>
      <c r="G34" s="635"/>
      <c r="H34" s="635"/>
      <c r="I34" s="641"/>
      <c r="J34" s="54"/>
      <c r="K34" s="53"/>
      <c r="L34" s="53"/>
    </row>
    <row r="35" spans="1:12" ht="16.5" customHeight="1" x14ac:dyDescent="0.25">
      <c r="A35" s="53"/>
      <c r="B35" s="710" t="s">
        <v>819</v>
      </c>
      <c r="C35" s="635"/>
      <c r="D35" s="635"/>
      <c r="E35" s="635"/>
      <c r="F35" s="635"/>
      <c r="G35" s="635"/>
      <c r="H35" s="635"/>
      <c r="I35" s="641"/>
      <c r="J35" s="54"/>
      <c r="K35" s="53"/>
      <c r="L35" s="53"/>
    </row>
    <row r="36" spans="1:12" ht="16.5" customHeight="1" x14ac:dyDescent="0.25">
      <c r="A36" s="53"/>
      <c r="B36" s="710" t="s">
        <v>820</v>
      </c>
      <c r="C36" s="635"/>
      <c r="D36" s="635"/>
      <c r="E36" s="635"/>
      <c r="F36" s="635"/>
      <c r="G36" s="635"/>
      <c r="H36" s="635"/>
      <c r="I36" s="641"/>
      <c r="J36" s="54"/>
      <c r="K36" s="53"/>
      <c r="L36" s="53"/>
    </row>
    <row r="37" spans="1:12" ht="16.5" customHeight="1" x14ac:dyDescent="0.25">
      <c r="A37" s="53"/>
      <c r="B37" s="710" t="s">
        <v>821</v>
      </c>
      <c r="C37" s="635"/>
      <c r="D37" s="635"/>
      <c r="E37" s="635"/>
      <c r="F37" s="635"/>
      <c r="G37" s="635"/>
      <c r="H37" s="635"/>
      <c r="I37" s="641"/>
      <c r="J37" s="54"/>
      <c r="K37" s="53"/>
      <c r="L37" s="53"/>
    </row>
    <row r="38" spans="1:12" ht="16.5" customHeight="1" x14ac:dyDescent="0.25">
      <c r="A38" s="53"/>
      <c r="B38" s="710" t="s">
        <v>822</v>
      </c>
      <c r="C38" s="635"/>
      <c r="D38" s="635"/>
      <c r="E38" s="635"/>
      <c r="F38" s="635"/>
      <c r="G38" s="635"/>
      <c r="H38" s="635"/>
      <c r="I38" s="641"/>
      <c r="J38" s="54"/>
      <c r="K38" s="53"/>
      <c r="L38" s="53"/>
    </row>
    <row r="39" spans="1:12" ht="16.5" customHeight="1" x14ac:dyDescent="0.25">
      <c r="A39" s="53"/>
      <c r="B39" s="711" t="s">
        <v>823</v>
      </c>
      <c r="C39" s="643"/>
      <c r="D39" s="643"/>
      <c r="E39" s="643"/>
      <c r="F39" s="643"/>
      <c r="G39" s="712"/>
      <c r="H39" s="643"/>
      <c r="I39" s="644"/>
      <c r="J39" s="53"/>
      <c r="K39" s="53"/>
      <c r="L39" s="53"/>
    </row>
    <row r="40" spans="1:12" ht="15" customHeight="1" x14ac:dyDescent="0.25">
      <c r="A40" s="53"/>
      <c r="B40" s="54"/>
      <c r="C40" s="54"/>
      <c r="D40" s="54"/>
      <c r="E40" s="54"/>
      <c r="F40" s="54"/>
      <c r="G40" s="439"/>
      <c r="H40" s="54"/>
      <c r="I40" s="53"/>
      <c r="J40" s="53"/>
      <c r="K40" s="53"/>
      <c r="L40" s="53"/>
    </row>
    <row r="41" spans="1:12" x14ac:dyDescent="0.25">
      <c r="A41" s="53"/>
      <c r="B41" s="54"/>
      <c r="C41" s="54"/>
      <c r="D41" s="54"/>
      <c r="E41" s="54"/>
      <c r="F41" s="54"/>
      <c r="G41" s="54"/>
      <c r="H41" s="54"/>
      <c r="I41" s="53"/>
      <c r="J41" s="53"/>
      <c r="K41" s="53"/>
      <c r="L41" s="53"/>
    </row>
    <row r="42" spans="1:12" ht="18" customHeight="1" x14ac:dyDescent="0.25">
      <c r="A42" s="1831" t="s">
        <v>26</v>
      </c>
      <c r="B42" s="1831"/>
      <c r="C42" s="1831"/>
      <c r="D42" s="1831"/>
      <c r="E42" s="1831"/>
      <c r="F42" s="1831"/>
      <c r="G42" s="1831"/>
      <c r="H42" s="1831"/>
      <c r="I42" s="1831"/>
      <c r="J42" s="1831"/>
      <c r="K42" s="1831"/>
      <c r="L42" s="1831"/>
    </row>
    <row r="43" spans="1:12" x14ac:dyDescent="0.25">
      <c r="A43" s="53"/>
      <c r="B43" s="54"/>
      <c r="C43" s="54"/>
      <c r="D43" s="54"/>
      <c r="E43" s="54"/>
      <c r="F43" s="54"/>
      <c r="G43" s="54"/>
      <c r="H43" s="54"/>
      <c r="I43" s="53"/>
      <c r="J43" s="53"/>
      <c r="K43" s="53"/>
      <c r="L43" s="53"/>
    </row>
    <row r="44" spans="1:12" x14ac:dyDescent="0.25">
      <c r="A44" s="53"/>
      <c r="B44" s="653" t="s">
        <v>1687</v>
      </c>
      <c r="C44" s="638"/>
      <c r="D44" s="638"/>
      <c r="E44" s="638"/>
      <c r="F44" s="638"/>
      <c r="G44" s="639"/>
      <c r="H44" s="54"/>
      <c r="I44" s="53"/>
      <c r="J44" s="53"/>
      <c r="K44" s="53"/>
      <c r="L44" s="53"/>
    </row>
    <row r="45" spans="1:12" x14ac:dyDescent="0.25">
      <c r="A45" s="53"/>
      <c r="B45" s="713" t="s">
        <v>1084</v>
      </c>
      <c r="C45" s="635"/>
      <c r="D45" s="635"/>
      <c r="E45" s="635"/>
      <c r="F45" s="635"/>
      <c r="G45" s="641"/>
      <c r="H45" s="53"/>
      <c r="I45" s="53"/>
      <c r="J45" s="53"/>
      <c r="K45" s="53"/>
      <c r="L45" s="53"/>
    </row>
    <row r="46" spans="1:12" x14ac:dyDescent="0.25">
      <c r="A46" s="54"/>
      <c r="B46" s="714" t="s">
        <v>1085</v>
      </c>
      <c r="C46" s="643"/>
      <c r="D46" s="643"/>
      <c r="E46" s="643"/>
      <c r="F46" s="643"/>
      <c r="G46" s="644"/>
      <c r="H46" s="53"/>
      <c r="I46" s="53"/>
      <c r="J46" s="53"/>
      <c r="K46" s="53"/>
      <c r="L46" s="53"/>
    </row>
    <row r="47" spans="1:12" ht="16.5" customHeight="1" x14ac:dyDescent="0.25">
      <c r="A47" s="53"/>
      <c r="B47" s="54"/>
      <c r="C47" s="54"/>
      <c r="D47" s="54"/>
      <c r="E47" s="53"/>
      <c r="F47" s="53"/>
      <c r="G47" s="53"/>
      <c r="H47" s="53"/>
      <c r="I47" s="53"/>
      <c r="J47" s="53"/>
      <c r="K47" s="53"/>
      <c r="L47" s="53"/>
    </row>
    <row r="48" spans="1:12" ht="16.5" customHeight="1" x14ac:dyDescent="0.25">
      <c r="A48" s="53"/>
      <c r="B48" s="764" t="s">
        <v>1688</v>
      </c>
      <c r="C48" s="54"/>
      <c r="D48" s="54"/>
      <c r="E48" s="53"/>
      <c r="F48" s="53"/>
      <c r="G48" s="53"/>
      <c r="H48" s="53"/>
      <c r="I48" s="53"/>
      <c r="J48" s="53"/>
      <c r="K48" s="53"/>
      <c r="L48" s="53"/>
    </row>
    <row r="49" spans="1:13" ht="9.75" customHeight="1" x14ac:dyDescent="0.25">
      <c r="A49" s="53"/>
      <c r="B49" s="54"/>
      <c r="C49" s="54"/>
      <c r="D49" s="54"/>
      <c r="E49" s="53"/>
      <c r="F49" s="53"/>
      <c r="G49" s="53"/>
      <c r="H49" s="53"/>
      <c r="I49" s="53"/>
      <c r="J49" s="53"/>
      <c r="K49" s="53"/>
      <c r="L49" s="53"/>
    </row>
    <row r="50" spans="1:13" ht="27" customHeight="1" x14ac:dyDescent="0.25">
      <c r="A50" s="53"/>
      <c r="B50" s="825" t="s">
        <v>1685</v>
      </c>
      <c r="C50" s="889" t="s">
        <v>205</v>
      </c>
      <c r="D50" s="826" t="s">
        <v>810</v>
      </c>
      <c r="E50" s="826" t="s">
        <v>1683</v>
      </c>
      <c r="F50" s="826" t="s">
        <v>1684</v>
      </c>
      <c r="G50" s="444" t="s">
        <v>182</v>
      </c>
      <c r="H50" s="53"/>
      <c r="I50" s="53"/>
      <c r="J50" s="53"/>
      <c r="K50" s="53"/>
      <c r="L50" s="53"/>
      <c r="M50" s="53"/>
    </row>
    <row r="51" spans="1:13" ht="16.5" customHeight="1" x14ac:dyDescent="0.25">
      <c r="A51" s="53"/>
      <c r="B51" s="890"/>
      <c r="C51" s="890"/>
      <c r="D51" s="881" t="s">
        <v>129</v>
      </c>
      <c r="E51" s="888"/>
      <c r="F51" s="888"/>
      <c r="G51" s="327" t="str">
        <f>IF(OR(D51="",D51="Select",E51="",F51=""),"",IF(AND(E51&gt;=VLOOKUP(D51,$N$26:$P$29,2,FALSE),F51&lt;=VLOOKUP(D51,$N$26:$P$29,3,FALSE)),"Yes","No"))</f>
        <v/>
      </c>
      <c r="H51" s="53"/>
      <c r="I51" s="53"/>
      <c r="J51" s="53"/>
      <c r="K51" s="53"/>
      <c r="L51" s="53"/>
      <c r="M51" s="53"/>
    </row>
    <row r="52" spans="1:13" ht="16.5" customHeight="1" x14ac:dyDescent="0.25">
      <c r="A52" s="53"/>
      <c r="B52" s="890"/>
      <c r="C52" s="890"/>
      <c r="D52" s="881" t="s">
        <v>129</v>
      </c>
      <c r="E52" s="888"/>
      <c r="F52" s="888"/>
      <c r="G52" s="327" t="str">
        <f t="shared" ref="G52:G65" si="0">IF(OR(D52="",D52="Select"),"",IF(AND(E52&gt;=VLOOKUP(D52,$N$26:$P$29,2,FALSE),F52&lt;=VLOOKUP(D52,$N$26:$P$29,3,FALSE)),"Yes","No"))</f>
        <v/>
      </c>
      <c r="H52" s="53"/>
      <c r="I52" s="53"/>
      <c r="J52" s="53"/>
      <c r="K52" s="53"/>
      <c r="L52" s="53"/>
    </row>
    <row r="53" spans="1:13" ht="16.5" customHeight="1" x14ac:dyDescent="0.25">
      <c r="A53" s="53"/>
      <c r="B53" s="890"/>
      <c r="C53" s="890"/>
      <c r="D53" s="881" t="s">
        <v>129</v>
      </c>
      <c r="E53" s="888"/>
      <c r="F53" s="888"/>
      <c r="G53" s="327" t="str">
        <f t="shared" si="0"/>
        <v/>
      </c>
      <c r="H53" s="53"/>
      <c r="I53" s="53"/>
      <c r="J53" s="53"/>
      <c r="K53" s="53"/>
      <c r="L53" s="53"/>
    </row>
    <row r="54" spans="1:13" ht="16.5" customHeight="1" x14ac:dyDescent="0.25">
      <c r="A54" s="53"/>
      <c r="B54" s="890"/>
      <c r="C54" s="890"/>
      <c r="D54" s="881" t="s">
        <v>129</v>
      </c>
      <c r="E54" s="888"/>
      <c r="F54" s="888"/>
      <c r="G54" s="327" t="str">
        <f t="shared" si="0"/>
        <v/>
      </c>
      <c r="H54" s="53"/>
      <c r="I54" s="53"/>
      <c r="J54" s="53"/>
      <c r="K54" s="53"/>
      <c r="L54" s="53"/>
    </row>
    <row r="55" spans="1:13" ht="16.5" customHeight="1" x14ac:dyDescent="0.25">
      <c r="A55" s="53"/>
      <c r="B55" s="890"/>
      <c r="C55" s="890"/>
      <c r="D55" s="881" t="s">
        <v>129</v>
      </c>
      <c r="E55" s="888"/>
      <c r="F55" s="888"/>
      <c r="G55" s="327" t="str">
        <f t="shared" si="0"/>
        <v/>
      </c>
      <c r="H55" s="53"/>
      <c r="I55" s="53"/>
      <c r="J55" s="53"/>
      <c r="K55" s="53"/>
      <c r="L55" s="53"/>
    </row>
    <row r="56" spans="1:13" ht="16.5" customHeight="1" x14ac:dyDescent="0.25">
      <c r="A56" s="53"/>
      <c r="B56" s="890"/>
      <c r="C56" s="890"/>
      <c r="D56" s="881" t="s">
        <v>129</v>
      </c>
      <c r="E56" s="888"/>
      <c r="F56" s="888"/>
      <c r="G56" s="327" t="str">
        <f t="shared" si="0"/>
        <v/>
      </c>
      <c r="H56" s="53"/>
      <c r="I56" s="53"/>
      <c r="J56" s="53"/>
      <c r="K56" s="53"/>
      <c r="L56" s="53"/>
    </row>
    <row r="57" spans="1:13" ht="16.5" customHeight="1" x14ac:dyDescent="0.25">
      <c r="A57" s="53"/>
      <c r="B57" s="890"/>
      <c r="C57" s="890"/>
      <c r="D57" s="881" t="s">
        <v>129</v>
      </c>
      <c r="E57" s="888"/>
      <c r="F57" s="888"/>
      <c r="G57" s="327" t="str">
        <f t="shared" si="0"/>
        <v/>
      </c>
      <c r="H57" s="53"/>
      <c r="I57" s="53"/>
      <c r="J57" s="53"/>
      <c r="K57" s="53"/>
      <c r="L57" s="53"/>
    </row>
    <row r="58" spans="1:13" ht="16.5" customHeight="1" x14ac:dyDescent="0.25">
      <c r="A58" s="53"/>
      <c r="B58" s="890"/>
      <c r="C58" s="890"/>
      <c r="D58" s="881" t="s">
        <v>129</v>
      </c>
      <c r="E58" s="888"/>
      <c r="F58" s="888"/>
      <c r="G58" s="327" t="str">
        <f t="shared" si="0"/>
        <v/>
      </c>
      <c r="H58" s="53"/>
      <c r="I58" s="53"/>
      <c r="J58" s="53"/>
      <c r="K58" s="53"/>
      <c r="L58" s="53"/>
    </row>
    <row r="59" spans="1:13" ht="16.5" customHeight="1" x14ac:dyDescent="0.25">
      <c r="A59" s="53"/>
      <c r="B59" s="890"/>
      <c r="C59" s="890"/>
      <c r="D59" s="881" t="s">
        <v>129</v>
      </c>
      <c r="E59" s="888"/>
      <c r="F59" s="888"/>
      <c r="G59" s="327" t="str">
        <f t="shared" si="0"/>
        <v/>
      </c>
      <c r="H59" s="53"/>
      <c r="I59" s="53"/>
      <c r="J59" s="53"/>
      <c r="K59" s="53"/>
      <c r="L59" s="53"/>
    </row>
    <row r="60" spans="1:13" ht="16.5" customHeight="1" x14ac:dyDescent="0.25">
      <c r="A60" s="53"/>
      <c r="B60" s="890"/>
      <c r="C60" s="890"/>
      <c r="D60" s="881" t="s">
        <v>129</v>
      </c>
      <c r="E60" s="888"/>
      <c r="F60" s="888"/>
      <c r="G60" s="327" t="str">
        <f t="shared" si="0"/>
        <v/>
      </c>
      <c r="H60" s="53"/>
      <c r="I60" s="53"/>
      <c r="J60" s="53"/>
      <c r="K60" s="53"/>
      <c r="L60" s="53"/>
    </row>
    <row r="61" spans="1:13" ht="16.5" customHeight="1" x14ac:dyDescent="0.25">
      <c r="A61" s="53"/>
      <c r="B61" s="890"/>
      <c r="C61" s="890"/>
      <c r="D61" s="881" t="s">
        <v>129</v>
      </c>
      <c r="E61" s="888"/>
      <c r="F61" s="888"/>
      <c r="G61" s="327" t="str">
        <f t="shared" si="0"/>
        <v/>
      </c>
      <c r="H61" s="53"/>
      <c r="I61" s="53"/>
      <c r="J61" s="53"/>
      <c r="K61" s="53"/>
      <c r="L61" s="53"/>
    </row>
    <row r="62" spans="1:13" ht="16.5" customHeight="1" x14ac:dyDescent="0.25">
      <c r="A62" s="53"/>
      <c r="B62" s="890"/>
      <c r="C62" s="890"/>
      <c r="D62" s="881" t="s">
        <v>129</v>
      </c>
      <c r="E62" s="888"/>
      <c r="F62" s="888"/>
      <c r="G62" s="327" t="str">
        <f t="shared" si="0"/>
        <v/>
      </c>
      <c r="H62" s="53"/>
      <c r="I62" s="53"/>
      <c r="J62" s="53"/>
      <c r="K62" s="53"/>
      <c r="L62" s="53"/>
    </row>
    <row r="63" spans="1:13" ht="16.5" customHeight="1" x14ac:dyDescent="0.25">
      <c r="A63" s="53"/>
      <c r="B63" s="890"/>
      <c r="C63" s="890"/>
      <c r="D63" s="881" t="s">
        <v>129</v>
      </c>
      <c r="E63" s="888"/>
      <c r="F63" s="888"/>
      <c r="G63" s="327" t="str">
        <f t="shared" si="0"/>
        <v/>
      </c>
      <c r="H63" s="53"/>
      <c r="I63" s="53"/>
      <c r="J63" s="53"/>
      <c r="K63" s="53"/>
      <c r="L63" s="53"/>
    </row>
    <row r="64" spans="1:13" ht="16.5" customHeight="1" x14ac:dyDescent="0.25">
      <c r="A64" s="53"/>
      <c r="B64" s="890"/>
      <c r="C64" s="890"/>
      <c r="D64" s="881" t="s">
        <v>129</v>
      </c>
      <c r="E64" s="888"/>
      <c r="F64" s="888"/>
      <c r="G64" s="327" t="str">
        <f t="shared" si="0"/>
        <v/>
      </c>
      <c r="H64" s="53"/>
      <c r="I64" s="53"/>
      <c r="J64" s="53"/>
      <c r="K64" s="53"/>
      <c r="L64" s="53"/>
    </row>
    <row r="65" spans="1:12" ht="16.5" customHeight="1" x14ac:dyDescent="0.25">
      <c r="A65" s="53"/>
      <c r="B65" s="890"/>
      <c r="C65" s="890"/>
      <c r="D65" s="881" t="s">
        <v>129</v>
      </c>
      <c r="E65" s="888"/>
      <c r="F65" s="888"/>
      <c r="G65" s="327" t="str">
        <f t="shared" si="0"/>
        <v/>
      </c>
      <c r="H65" s="53"/>
      <c r="I65" s="53"/>
      <c r="J65" s="53"/>
      <c r="K65" s="53"/>
      <c r="L65" s="53"/>
    </row>
    <row r="66" spans="1:12" ht="16.5" customHeight="1" x14ac:dyDescent="0.25">
      <c r="A66" s="53"/>
      <c r="B66" s="54"/>
      <c r="C66" s="54"/>
      <c r="D66" s="54"/>
      <c r="E66" s="53"/>
      <c r="F66" s="53"/>
      <c r="G66" s="53"/>
      <c r="H66" s="53"/>
      <c r="I66" s="53"/>
      <c r="J66" s="53"/>
      <c r="K66" s="53"/>
      <c r="L66" s="53"/>
    </row>
    <row r="67" spans="1:12" ht="19.5" customHeight="1" x14ac:dyDescent="0.25">
      <c r="A67" s="53"/>
      <c r="B67" s="1830" t="s">
        <v>1686</v>
      </c>
      <c r="C67" s="1830"/>
      <c r="D67" s="1830"/>
      <c r="E67" s="311" t="str">
        <f>IFERROR(IF(AND(COUNTIF(G51:G65,"Yes")&gt;0,COUNTIF(G51:G65,"No")=0),"Yes","No"),"")</f>
        <v>No</v>
      </c>
      <c r="F67" s="53"/>
      <c r="G67" s="53"/>
      <c r="H67" s="53"/>
      <c r="I67" s="53"/>
      <c r="J67" s="53"/>
      <c r="K67" s="53"/>
      <c r="L67" s="53"/>
    </row>
    <row r="68" spans="1:12" ht="16.5" customHeight="1" x14ac:dyDescent="0.25">
      <c r="A68" s="53"/>
      <c r="B68" s="54"/>
      <c r="C68" s="54"/>
      <c r="D68" s="54"/>
      <c r="E68" s="53"/>
      <c r="F68" s="53"/>
      <c r="G68" s="53"/>
      <c r="H68" s="53"/>
      <c r="I68" s="53"/>
      <c r="J68" s="53"/>
      <c r="K68" s="53"/>
      <c r="L68" s="53"/>
    </row>
    <row r="69" spans="1:12" ht="18" customHeight="1" x14ac:dyDescent="0.25">
      <c r="A69" s="1831" t="s">
        <v>200</v>
      </c>
      <c r="B69" s="1831"/>
      <c r="C69" s="1831"/>
      <c r="D69" s="1831"/>
      <c r="E69" s="1831"/>
      <c r="F69" s="1831"/>
      <c r="G69" s="1831"/>
      <c r="H69" s="1831"/>
      <c r="I69" s="1831"/>
      <c r="J69" s="1831"/>
      <c r="K69" s="1831"/>
      <c r="L69" s="1831"/>
    </row>
    <row r="70" spans="1:12" x14ac:dyDescent="0.25">
      <c r="A70" s="53"/>
      <c r="B70" s="54"/>
      <c r="C70" s="54"/>
      <c r="D70" s="54"/>
      <c r="E70" s="53"/>
      <c r="F70" s="53"/>
      <c r="G70" s="53"/>
      <c r="H70" s="53"/>
      <c r="I70" s="53"/>
      <c r="J70" s="53"/>
      <c r="K70" s="53"/>
      <c r="L70" s="53"/>
    </row>
    <row r="71" spans="1:12" ht="18" customHeight="1" x14ac:dyDescent="0.25">
      <c r="A71" s="53"/>
      <c r="B71" s="1856" t="s">
        <v>2103</v>
      </c>
      <c r="C71" s="1857"/>
      <c r="D71" s="1857"/>
      <c r="E71" s="1857"/>
      <c r="F71" s="1857"/>
      <c r="G71" s="444" t="s">
        <v>2101</v>
      </c>
      <c r="H71" s="1834" t="s">
        <v>2102</v>
      </c>
      <c r="I71" s="1835"/>
      <c r="J71" s="53"/>
      <c r="K71" s="53"/>
      <c r="L71" s="53"/>
    </row>
    <row r="72" spans="1:12" ht="27.75" customHeight="1" x14ac:dyDescent="0.25">
      <c r="A72" s="53"/>
      <c r="B72" s="1436" t="s">
        <v>1269</v>
      </c>
      <c r="C72" s="1437"/>
      <c r="D72" s="1437"/>
      <c r="E72" s="1437"/>
      <c r="F72" s="1438"/>
      <c r="G72" s="633" t="s">
        <v>129</v>
      </c>
      <c r="H72" s="1730"/>
      <c r="I72" s="1729"/>
      <c r="J72" s="53"/>
      <c r="K72" s="53"/>
      <c r="L72" s="53"/>
    </row>
    <row r="73" spans="1:12" ht="24.75" customHeight="1" x14ac:dyDescent="0.25">
      <c r="A73" s="53"/>
      <c r="B73" s="1436" t="s">
        <v>1270</v>
      </c>
      <c r="C73" s="1437"/>
      <c r="D73" s="1437"/>
      <c r="E73" s="1437"/>
      <c r="F73" s="1438"/>
      <c r="G73" s="633" t="s">
        <v>129</v>
      </c>
      <c r="H73" s="1730"/>
      <c r="I73" s="1729"/>
      <c r="J73" s="53"/>
      <c r="K73" s="53"/>
      <c r="L73" s="53"/>
    </row>
    <row r="74" spans="1:12" ht="16.5" customHeight="1" x14ac:dyDescent="0.25">
      <c r="A74" s="53"/>
      <c r="B74" s="54"/>
      <c r="C74" s="54"/>
      <c r="D74" s="54"/>
      <c r="E74" s="53"/>
      <c r="F74" s="53"/>
      <c r="G74" s="53"/>
      <c r="H74" s="53"/>
      <c r="I74" s="53"/>
      <c r="J74" s="53"/>
      <c r="K74" s="53"/>
      <c r="L74" s="53"/>
    </row>
    <row r="75" spans="1:12" ht="18" customHeight="1" x14ac:dyDescent="0.25">
      <c r="A75" s="1831" t="s">
        <v>25</v>
      </c>
      <c r="B75" s="1831"/>
      <c r="C75" s="1831"/>
      <c r="D75" s="1831"/>
      <c r="E75" s="1831"/>
      <c r="F75" s="1831"/>
      <c r="G75" s="1831"/>
      <c r="H75" s="1831"/>
      <c r="I75" s="1831"/>
      <c r="J75" s="1831"/>
      <c r="K75" s="1831"/>
      <c r="L75" s="1831"/>
    </row>
    <row r="76" spans="1:12" ht="16.5" customHeight="1" x14ac:dyDescent="0.25">
      <c r="A76" s="53"/>
      <c r="B76" s="54"/>
      <c r="C76" s="54"/>
      <c r="D76" s="54"/>
      <c r="E76" s="53"/>
      <c r="F76" s="53"/>
      <c r="G76" s="53"/>
      <c r="H76" s="53"/>
      <c r="I76" s="53"/>
      <c r="J76" s="53"/>
      <c r="K76" s="53"/>
      <c r="L76" s="53"/>
    </row>
    <row r="77" spans="1:12" ht="18" customHeight="1" x14ac:dyDescent="0.25">
      <c r="A77" s="53"/>
      <c r="B77" s="271" t="s">
        <v>56</v>
      </c>
      <c r="C77" s="1193">
        <f>IF(AND(E67="Yes",COUNTIF(G72:G73,"Submitted")=2),1,0)</f>
        <v>0</v>
      </c>
      <c r="D77" s="54"/>
      <c r="E77" s="53"/>
      <c r="F77" s="53"/>
      <c r="G77" s="53"/>
      <c r="H77" s="53"/>
      <c r="I77" s="53"/>
      <c r="J77" s="53"/>
      <c r="K77" s="53"/>
      <c r="L77" s="53"/>
    </row>
    <row r="78" spans="1:12" ht="18" customHeight="1" x14ac:dyDescent="0.25">
      <c r="A78" s="53"/>
      <c r="B78" s="272" t="s">
        <v>521</v>
      </c>
      <c r="C78" s="1193" t="str">
        <f>IF(AND(COUNTIF(G72:G72,"Submitted")=1,C77&gt;0),"Yes","No")</f>
        <v>No</v>
      </c>
      <c r="D78" s="54"/>
      <c r="E78" s="53"/>
      <c r="F78" s="53"/>
      <c r="G78" s="53"/>
      <c r="H78" s="53"/>
      <c r="I78" s="53"/>
      <c r="J78" s="53"/>
      <c r="K78" s="53"/>
      <c r="L78" s="53"/>
    </row>
    <row r="79" spans="1:12" ht="21" customHeight="1" x14ac:dyDescent="0.25">
      <c r="A79" s="53"/>
      <c r="B79" s="53"/>
      <c r="C79" s="53"/>
      <c r="D79" s="53"/>
      <c r="E79" s="53"/>
      <c r="F79" s="53"/>
      <c r="G79" s="53"/>
      <c r="H79" s="53"/>
      <c r="I79" s="53"/>
      <c r="J79" s="53"/>
      <c r="K79" s="53"/>
      <c r="L79" s="53"/>
    </row>
    <row r="80" spans="1:12" ht="16.5" hidden="1" customHeight="1" x14ac:dyDescent="0.25">
      <c r="A80" s="53"/>
      <c r="B80" s="53"/>
      <c r="C80" s="53"/>
      <c r="D80" s="53"/>
      <c r="E80" s="53"/>
      <c r="F80" s="53"/>
      <c r="G80" s="53"/>
      <c r="H80" s="53"/>
      <c r="I80" s="53"/>
      <c r="J80" s="53"/>
      <c r="K80" s="53"/>
      <c r="L80" s="53"/>
    </row>
    <row r="81" spans="1:12" ht="16.5" hidden="1" customHeight="1" x14ac:dyDescent="0.25">
      <c r="A81" s="53"/>
      <c r="B81" s="53"/>
      <c r="C81" s="53"/>
      <c r="D81" s="53"/>
      <c r="E81" s="53"/>
      <c r="F81" s="53"/>
      <c r="G81" s="53"/>
      <c r="H81" s="53"/>
      <c r="I81" s="53"/>
      <c r="J81" s="53"/>
      <c r="K81" s="53"/>
      <c r="L81" s="53"/>
    </row>
    <row r="82" spans="1:12" ht="16.5" hidden="1" customHeight="1" x14ac:dyDescent="0.25">
      <c r="A82" s="53"/>
      <c r="B82" s="53"/>
      <c r="C82" s="53"/>
      <c r="D82" s="53"/>
      <c r="E82" s="53"/>
      <c r="F82" s="53"/>
      <c r="G82" s="53"/>
      <c r="H82" s="53"/>
      <c r="I82" s="53"/>
      <c r="J82" s="53"/>
      <c r="K82" s="53"/>
      <c r="L82" s="53"/>
    </row>
    <row r="83" spans="1:12" ht="16.5" hidden="1" customHeight="1" x14ac:dyDescent="0.25">
      <c r="A83" s="53"/>
      <c r="B83" s="53"/>
      <c r="C83" s="53"/>
      <c r="D83" s="53"/>
      <c r="E83" s="53"/>
      <c r="F83" s="53"/>
      <c r="G83" s="53"/>
      <c r="H83" s="53"/>
      <c r="I83" s="53"/>
      <c r="J83" s="53"/>
      <c r="K83" s="53"/>
      <c r="L83" s="53"/>
    </row>
    <row r="84" spans="1:12" ht="16.5" hidden="1" customHeight="1" x14ac:dyDescent="0.25">
      <c r="A84" s="53"/>
      <c r="B84" s="53"/>
      <c r="C84" s="53"/>
      <c r="D84" s="53"/>
      <c r="E84" s="53"/>
      <c r="F84" s="53"/>
      <c r="G84" s="53"/>
      <c r="H84" s="53"/>
      <c r="I84" s="53"/>
      <c r="J84" s="53"/>
      <c r="K84" s="53"/>
      <c r="L84" s="53"/>
    </row>
    <row r="85" spans="1:12" ht="16.5" hidden="1" customHeight="1" x14ac:dyDescent="0.25">
      <c r="A85" s="53"/>
      <c r="B85" s="53"/>
      <c r="C85" s="53"/>
      <c r="D85" s="53"/>
      <c r="E85" s="53"/>
      <c r="F85" s="53"/>
      <c r="G85" s="53"/>
      <c r="H85" s="53"/>
      <c r="I85" s="53"/>
      <c r="J85" s="53"/>
      <c r="K85" s="53"/>
      <c r="L85" s="53"/>
    </row>
    <row r="86" spans="1:12" ht="16.5" hidden="1" customHeight="1" x14ac:dyDescent="0.25">
      <c r="A86" s="53"/>
      <c r="B86" s="53"/>
      <c r="C86" s="53"/>
      <c r="D86" s="53"/>
      <c r="E86" s="53"/>
      <c r="F86" s="53"/>
      <c r="G86" s="53"/>
      <c r="H86" s="53"/>
      <c r="I86" s="53"/>
      <c r="J86" s="53"/>
      <c r="K86" s="53"/>
      <c r="L86" s="53"/>
    </row>
    <row r="87" spans="1:12" ht="16.5" hidden="1" customHeight="1" x14ac:dyDescent="0.25">
      <c r="A87" s="53"/>
      <c r="B87" s="53"/>
      <c r="C87" s="53"/>
      <c r="D87" s="53"/>
      <c r="E87" s="53"/>
      <c r="F87" s="53"/>
      <c r="G87" s="53"/>
      <c r="H87" s="53"/>
      <c r="I87" s="53"/>
      <c r="J87" s="53"/>
      <c r="K87" s="53"/>
      <c r="L87" s="53"/>
    </row>
    <row r="88" spans="1:12" ht="16.5" hidden="1" customHeight="1" x14ac:dyDescent="0.25">
      <c r="A88" s="53"/>
      <c r="B88" s="53"/>
      <c r="C88" s="53"/>
      <c r="D88" s="53"/>
      <c r="E88" s="53"/>
      <c r="F88" s="53"/>
      <c r="G88" s="53"/>
      <c r="H88" s="53"/>
      <c r="I88" s="53"/>
      <c r="J88" s="53"/>
      <c r="K88" s="53"/>
      <c r="L88" s="53"/>
    </row>
    <row r="89" spans="1:12" ht="16.5" hidden="1" customHeight="1" x14ac:dyDescent="0.25">
      <c r="A89" s="53"/>
      <c r="B89" s="53"/>
      <c r="C89" s="53"/>
      <c r="D89" s="53"/>
      <c r="E89" s="53"/>
      <c r="F89" s="53"/>
      <c r="G89" s="53"/>
      <c r="H89" s="53"/>
      <c r="I89" s="53"/>
      <c r="J89" s="53"/>
      <c r="K89" s="53"/>
      <c r="L89" s="53"/>
    </row>
    <row r="90" spans="1:12" ht="16.5" hidden="1" customHeight="1" x14ac:dyDescent="0.25">
      <c r="A90" s="53"/>
      <c r="B90" s="53"/>
      <c r="C90" s="53"/>
      <c r="D90" s="53"/>
      <c r="E90" s="53"/>
      <c r="F90" s="53"/>
      <c r="G90" s="53"/>
      <c r="H90" s="53"/>
      <c r="I90" s="53"/>
      <c r="J90" s="53"/>
      <c r="K90" s="53"/>
      <c r="L90" s="53"/>
    </row>
    <row r="91" spans="1:12" ht="16.5" hidden="1" customHeight="1" x14ac:dyDescent="0.25">
      <c r="A91" s="53"/>
      <c r="B91" s="53"/>
      <c r="C91" s="53"/>
      <c r="D91" s="53"/>
      <c r="E91" s="53"/>
      <c r="F91" s="53"/>
      <c r="G91" s="53"/>
      <c r="H91" s="53"/>
      <c r="I91" s="53"/>
      <c r="J91" s="53"/>
      <c r="K91" s="53"/>
      <c r="L91" s="53"/>
    </row>
    <row r="92" spans="1:12" ht="16.5" hidden="1" customHeight="1" x14ac:dyDescent="0.25">
      <c r="A92" s="53"/>
      <c r="B92" s="53"/>
      <c r="C92" s="53"/>
      <c r="D92" s="53"/>
      <c r="E92" s="53"/>
      <c r="F92" s="53"/>
      <c r="G92" s="53"/>
      <c r="H92" s="53"/>
      <c r="I92" s="53"/>
      <c r="J92" s="53"/>
      <c r="K92" s="53"/>
      <c r="L92" s="53"/>
    </row>
    <row r="93" spans="1:12" ht="16.5" hidden="1" customHeight="1" x14ac:dyDescent="0.25">
      <c r="A93" s="53"/>
      <c r="B93" s="53"/>
      <c r="C93" s="53"/>
      <c r="D93" s="53"/>
      <c r="E93" s="53"/>
      <c r="F93" s="53"/>
      <c r="G93" s="53"/>
      <c r="H93" s="53"/>
      <c r="I93" s="53"/>
      <c r="J93" s="53"/>
      <c r="K93" s="53"/>
      <c r="L93" s="53"/>
    </row>
    <row r="94" spans="1:12" ht="16.5" hidden="1" customHeight="1" x14ac:dyDescent="0.25">
      <c r="A94" s="53"/>
      <c r="B94" s="53"/>
      <c r="C94" s="53"/>
      <c r="D94" s="53"/>
      <c r="E94" s="53"/>
      <c r="F94" s="53"/>
      <c r="G94" s="53"/>
      <c r="H94" s="53"/>
      <c r="I94" s="53"/>
      <c r="J94" s="53"/>
      <c r="K94" s="53"/>
      <c r="L94" s="53"/>
    </row>
    <row r="95" spans="1:12" ht="16.5" hidden="1" customHeight="1" x14ac:dyDescent="0.25">
      <c r="A95" s="53"/>
      <c r="B95" s="53"/>
      <c r="C95" s="53"/>
      <c r="D95" s="53"/>
      <c r="E95" s="53"/>
      <c r="F95" s="53"/>
      <c r="G95" s="53"/>
      <c r="H95" s="53"/>
      <c r="I95" s="53"/>
      <c r="J95" s="53"/>
      <c r="K95" s="53"/>
      <c r="L95" s="53"/>
    </row>
    <row r="96" spans="1:12" ht="16.5" hidden="1" customHeight="1" x14ac:dyDescent="0.25">
      <c r="A96" s="53"/>
      <c r="B96" s="53"/>
      <c r="C96" s="53"/>
      <c r="D96" s="53"/>
      <c r="E96" s="53"/>
      <c r="F96" s="53"/>
      <c r="G96" s="53"/>
      <c r="H96" s="53"/>
      <c r="I96" s="53"/>
      <c r="J96" s="53"/>
      <c r="K96" s="53"/>
      <c r="L96" s="53"/>
    </row>
    <row r="97" spans="1:12" ht="16.5" hidden="1" customHeight="1" x14ac:dyDescent="0.25">
      <c r="A97" s="53"/>
      <c r="B97" s="53"/>
      <c r="C97" s="53"/>
      <c r="D97" s="53"/>
      <c r="E97" s="53"/>
      <c r="F97" s="53"/>
      <c r="G97" s="53"/>
      <c r="H97" s="53"/>
      <c r="I97" s="53"/>
      <c r="J97" s="53"/>
      <c r="K97" s="53"/>
      <c r="L97" s="53"/>
    </row>
    <row r="98" spans="1:12" ht="16.5" hidden="1" customHeight="1" x14ac:dyDescent="0.25">
      <c r="A98" s="53"/>
      <c r="B98" s="53"/>
      <c r="C98" s="53"/>
      <c r="D98" s="53"/>
      <c r="E98" s="53"/>
      <c r="F98" s="53"/>
      <c r="G98" s="53"/>
      <c r="H98" s="53"/>
      <c r="I98" s="53"/>
      <c r="J98" s="53"/>
      <c r="K98" s="53"/>
      <c r="L98" s="53"/>
    </row>
    <row r="99" spans="1:12" ht="16.5" hidden="1" customHeight="1" x14ac:dyDescent="0.25">
      <c r="A99" s="53"/>
      <c r="B99" s="53"/>
      <c r="C99" s="53"/>
      <c r="D99" s="53"/>
      <c r="E99" s="53"/>
      <c r="F99" s="53"/>
      <c r="G99" s="53"/>
      <c r="H99" s="53"/>
      <c r="I99" s="53"/>
      <c r="J99" s="53"/>
      <c r="K99" s="53"/>
      <c r="L99" s="53"/>
    </row>
    <row r="100" spans="1:12" ht="16.5" hidden="1" customHeight="1" x14ac:dyDescent="0.25">
      <c r="A100" s="53"/>
      <c r="B100" s="53"/>
      <c r="C100" s="53"/>
      <c r="D100" s="53"/>
      <c r="E100" s="53"/>
      <c r="F100" s="53"/>
      <c r="G100" s="53"/>
      <c r="H100" s="53"/>
      <c r="I100" s="53"/>
      <c r="J100" s="53"/>
      <c r="K100" s="53"/>
      <c r="L100" s="53"/>
    </row>
    <row r="101" spans="1:12" ht="16.5" hidden="1" customHeight="1" x14ac:dyDescent="0.25">
      <c r="A101" s="53"/>
      <c r="B101" s="53"/>
      <c r="C101" s="53"/>
      <c r="D101" s="53"/>
      <c r="E101" s="53"/>
      <c r="F101" s="53"/>
      <c r="G101" s="53"/>
      <c r="H101" s="53"/>
      <c r="I101" s="53"/>
      <c r="J101" s="53"/>
      <c r="K101" s="53"/>
      <c r="L101" s="53"/>
    </row>
    <row r="102" spans="1:12" ht="16.5" hidden="1" customHeight="1" x14ac:dyDescent="0.25">
      <c r="A102" s="53"/>
      <c r="B102" s="53"/>
      <c r="C102" s="53"/>
      <c r="D102" s="53"/>
      <c r="E102" s="53"/>
      <c r="F102" s="53"/>
      <c r="G102" s="53"/>
      <c r="H102" s="53"/>
      <c r="I102" s="53"/>
      <c r="J102" s="53"/>
      <c r="K102" s="53"/>
      <c r="L102" s="53"/>
    </row>
    <row r="103" spans="1:12" ht="16.5" hidden="1" customHeight="1" x14ac:dyDescent="0.25">
      <c r="A103" s="53"/>
      <c r="B103" s="53"/>
      <c r="C103" s="53"/>
      <c r="D103" s="53"/>
      <c r="E103" s="53"/>
      <c r="F103" s="53"/>
      <c r="G103" s="53"/>
      <c r="H103" s="53"/>
      <c r="I103" s="53"/>
      <c r="J103" s="53"/>
      <c r="K103" s="53"/>
      <c r="L103" s="53"/>
    </row>
    <row r="104" spans="1:12" ht="16.5" hidden="1" customHeight="1" x14ac:dyDescent="0.25">
      <c r="A104" s="53"/>
      <c r="B104" s="53"/>
      <c r="C104" s="53"/>
      <c r="D104" s="53"/>
      <c r="E104" s="53"/>
      <c r="F104" s="53"/>
      <c r="G104" s="53"/>
      <c r="H104" s="53"/>
      <c r="I104" s="53"/>
      <c r="J104" s="53"/>
      <c r="K104" s="53"/>
      <c r="L104" s="53"/>
    </row>
    <row r="105" spans="1:12" ht="16.5" hidden="1" customHeight="1" x14ac:dyDescent="0.25">
      <c r="A105" s="53"/>
      <c r="B105" s="53"/>
      <c r="C105" s="53"/>
      <c r="D105" s="53"/>
      <c r="E105" s="53"/>
      <c r="F105" s="53"/>
      <c r="G105" s="53"/>
      <c r="H105" s="53"/>
      <c r="I105" s="53"/>
      <c r="J105" s="53"/>
      <c r="K105" s="53"/>
      <c r="L105" s="53"/>
    </row>
    <row r="106" spans="1:12" ht="16.5" hidden="1" customHeight="1" x14ac:dyDescent="0.25">
      <c r="A106" s="53"/>
      <c r="B106" s="53"/>
      <c r="C106" s="53"/>
      <c r="D106" s="53"/>
      <c r="E106" s="53"/>
      <c r="F106" s="53"/>
      <c r="G106" s="53"/>
      <c r="H106" s="53"/>
      <c r="I106" s="53"/>
      <c r="J106" s="53"/>
      <c r="K106" s="53"/>
      <c r="L106" s="53"/>
    </row>
    <row r="107" spans="1:12" ht="16.5" hidden="1" customHeight="1" x14ac:dyDescent="0.25">
      <c r="A107" s="53"/>
      <c r="B107" s="53"/>
      <c r="C107" s="53"/>
      <c r="D107" s="53"/>
      <c r="E107" s="53"/>
      <c r="F107" s="53"/>
      <c r="G107" s="53"/>
      <c r="H107" s="53"/>
      <c r="I107" s="53"/>
      <c r="J107" s="53"/>
      <c r="K107" s="53"/>
      <c r="L107" s="53"/>
    </row>
    <row r="108" spans="1:12" ht="16.5" hidden="1" customHeight="1" x14ac:dyDescent="0.25">
      <c r="A108" s="53"/>
      <c r="B108" s="53"/>
      <c r="C108" s="53"/>
      <c r="D108" s="53"/>
      <c r="E108" s="53"/>
      <c r="F108" s="53"/>
      <c r="G108" s="53"/>
      <c r="H108" s="53"/>
      <c r="I108" s="53"/>
      <c r="J108" s="53"/>
      <c r="K108" s="53"/>
      <c r="L108" s="53"/>
    </row>
    <row r="109" spans="1:12" ht="16.5" hidden="1" customHeight="1" x14ac:dyDescent="0.25">
      <c r="A109" s="53"/>
      <c r="B109" s="53"/>
      <c r="C109" s="53"/>
      <c r="D109" s="53"/>
      <c r="E109" s="53"/>
      <c r="F109" s="53"/>
      <c r="G109" s="53"/>
      <c r="H109" s="53"/>
      <c r="I109" s="53"/>
      <c r="J109" s="53"/>
      <c r="K109" s="53"/>
      <c r="L109" s="53"/>
    </row>
    <row r="110" spans="1:12" ht="16.5" hidden="1" customHeight="1" x14ac:dyDescent="0.25">
      <c r="A110" s="53"/>
      <c r="B110" s="53"/>
      <c r="C110" s="53"/>
      <c r="D110" s="53"/>
      <c r="E110" s="53"/>
      <c r="F110" s="53"/>
      <c r="G110" s="53"/>
      <c r="H110" s="53"/>
      <c r="I110" s="53"/>
      <c r="J110" s="53"/>
      <c r="K110" s="53"/>
      <c r="L110" s="53"/>
    </row>
    <row r="111" spans="1:12" ht="16.5" hidden="1" customHeight="1" x14ac:dyDescent="0.25">
      <c r="A111" s="53"/>
      <c r="B111" s="53"/>
      <c r="C111" s="53"/>
      <c r="D111" s="53"/>
      <c r="E111" s="53"/>
      <c r="F111" s="53"/>
      <c r="G111" s="53"/>
      <c r="H111" s="53"/>
      <c r="I111" s="53"/>
      <c r="J111" s="53"/>
      <c r="K111" s="53"/>
      <c r="L111" s="53"/>
    </row>
    <row r="112" spans="1:12" ht="16.5" hidden="1" customHeight="1" x14ac:dyDescent="0.25">
      <c r="A112" s="53"/>
      <c r="B112" s="53"/>
      <c r="C112" s="53"/>
      <c r="D112" s="53"/>
      <c r="E112" s="53"/>
      <c r="F112" s="53"/>
      <c r="G112" s="53"/>
      <c r="H112" s="53"/>
      <c r="I112" s="53"/>
      <c r="J112" s="53"/>
      <c r="K112" s="53"/>
      <c r="L112" s="53"/>
    </row>
    <row r="113" spans="1:12" ht="16.5" hidden="1" customHeight="1" x14ac:dyDescent="0.25">
      <c r="A113" s="53"/>
      <c r="B113" s="53"/>
      <c r="C113" s="53"/>
      <c r="D113" s="53"/>
      <c r="E113" s="53"/>
      <c r="F113" s="53"/>
      <c r="G113" s="53"/>
      <c r="H113" s="53"/>
      <c r="I113" s="53"/>
      <c r="J113" s="53"/>
      <c r="K113" s="53"/>
      <c r="L113" s="53"/>
    </row>
    <row r="114" spans="1:12" ht="16.5" hidden="1" customHeight="1" x14ac:dyDescent="0.25">
      <c r="A114" s="53"/>
      <c r="B114" s="53"/>
      <c r="C114" s="53"/>
      <c r="D114" s="53"/>
      <c r="E114" s="53"/>
      <c r="F114" s="53"/>
      <c r="G114" s="53"/>
      <c r="H114" s="53"/>
      <c r="I114" s="53"/>
      <c r="J114" s="53"/>
      <c r="K114" s="53"/>
      <c r="L114" s="53"/>
    </row>
    <row r="115" spans="1:12" ht="16.5" hidden="1" customHeight="1" x14ac:dyDescent="0.25">
      <c r="A115" s="53"/>
      <c r="B115" s="53"/>
      <c r="C115" s="53"/>
      <c r="D115" s="53"/>
      <c r="E115" s="53"/>
      <c r="F115" s="53"/>
      <c r="G115" s="53"/>
      <c r="H115" s="53"/>
      <c r="I115" s="53"/>
      <c r="J115" s="53"/>
      <c r="K115" s="53"/>
      <c r="L115" s="53"/>
    </row>
    <row r="116" spans="1:12" ht="16.5" hidden="1" customHeight="1" x14ac:dyDescent="0.25">
      <c r="A116" s="53"/>
      <c r="B116" s="53"/>
      <c r="C116" s="53"/>
      <c r="D116" s="53"/>
      <c r="E116" s="53"/>
      <c r="F116" s="53"/>
      <c r="G116" s="53"/>
      <c r="H116" s="53"/>
      <c r="I116" s="53"/>
      <c r="J116" s="53"/>
      <c r="K116" s="53"/>
      <c r="L116" s="53"/>
    </row>
    <row r="117" spans="1:12" ht="16.5" hidden="1" customHeight="1" x14ac:dyDescent="0.25">
      <c r="A117" s="53"/>
      <c r="B117" s="53"/>
      <c r="C117" s="53"/>
      <c r="D117" s="53"/>
      <c r="E117" s="53"/>
      <c r="F117" s="53"/>
      <c r="G117" s="53"/>
      <c r="H117" s="53"/>
      <c r="I117" s="53"/>
      <c r="J117" s="53"/>
      <c r="K117" s="53"/>
      <c r="L117" s="53"/>
    </row>
    <row r="118" spans="1:12" ht="16.5" hidden="1" customHeight="1" x14ac:dyDescent="0.25">
      <c r="A118" s="53"/>
      <c r="B118" s="53"/>
      <c r="C118" s="53"/>
      <c r="D118" s="53"/>
      <c r="E118" s="53"/>
      <c r="F118" s="53"/>
      <c r="G118" s="53"/>
      <c r="H118" s="53"/>
      <c r="I118" s="53"/>
      <c r="J118" s="53"/>
      <c r="K118" s="53"/>
      <c r="L118" s="53"/>
    </row>
    <row r="119" spans="1:12" ht="16.5" hidden="1" customHeight="1" x14ac:dyDescent="0.25">
      <c r="A119" s="53"/>
      <c r="B119" s="53"/>
      <c r="C119" s="53"/>
      <c r="D119" s="53"/>
      <c r="E119" s="53"/>
      <c r="F119" s="53"/>
      <c r="G119" s="53"/>
      <c r="H119" s="53"/>
      <c r="I119" s="53"/>
      <c r="J119" s="53"/>
      <c r="K119" s="53"/>
      <c r="L119" s="53"/>
    </row>
    <row r="120" spans="1:12" ht="16.5" hidden="1" customHeight="1" x14ac:dyDescent="0.25">
      <c r="A120" s="53"/>
      <c r="B120" s="53"/>
      <c r="C120" s="53"/>
      <c r="D120" s="53"/>
      <c r="E120" s="53"/>
      <c r="F120" s="53"/>
      <c r="G120" s="53"/>
      <c r="H120" s="53"/>
      <c r="I120" s="53"/>
      <c r="J120" s="53"/>
      <c r="K120" s="53"/>
      <c r="L120" s="53"/>
    </row>
    <row r="121" spans="1:12" ht="16.5" hidden="1" customHeight="1" x14ac:dyDescent="0.25">
      <c r="A121" s="53"/>
      <c r="B121" s="53"/>
      <c r="C121" s="53"/>
      <c r="D121" s="53"/>
      <c r="E121" s="53"/>
      <c r="F121" s="53"/>
      <c r="G121" s="53"/>
      <c r="H121" s="53"/>
      <c r="I121" s="53"/>
      <c r="J121" s="53"/>
      <c r="K121" s="53"/>
      <c r="L121" s="53"/>
    </row>
    <row r="122" spans="1:12" ht="16.5" hidden="1" customHeight="1" x14ac:dyDescent="0.25">
      <c r="A122" s="53"/>
      <c r="B122" s="53"/>
      <c r="C122" s="53"/>
      <c r="D122" s="53"/>
      <c r="E122" s="53"/>
      <c r="F122" s="53"/>
      <c r="G122" s="53"/>
      <c r="H122" s="53"/>
      <c r="I122" s="53"/>
      <c r="J122" s="53"/>
      <c r="K122" s="53"/>
      <c r="L122" s="53"/>
    </row>
    <row r="123" spans="1:12" ht="16.5" hidden="1" customHeight="1" x14ac:dyDescent="0.25">
      <c r="A123" s="53"/>
      <c r="B123" s="53"/>
      <c r="C123" s="53"/>
      <c r="D123" s="53"/>
      <c r="E123" s="53"/>
      <c r="F123" s="53"/>
      <c r="G123" s="53"/>
      <c r="H123" s="53"/>
      <c r="I123" s="53"/>
      <c r="J123" s="53"/>
      <c r="K123" s="53"/>
      <c r="L123" s="53"/>
    </row>
    <row r="124" spans="1:12" ht="16.5" hidden="1" customHeight="1" x14ac:dyDescent="0.25">
      <c r="A124" s="53"/>
      <c r="B124" s="53"/>
      <c r="C124" s="53"/>
      <c r="D124" s="53"/>
      <c r="E124" s="53"/>
      <c r="F124" s="53"/>
      <c r="G124" s="53"/>
      <c r="H124" s="53"/>
      <c r="I124" s="53"/>
      <c r="J124" s="53"/>
      <c r="K124" s="53"/>
      <c r="L124" s="53"/>
    </row>
    <row r="125" spans="1:12" ht="16.5" hidden="1" customHeight="1" x14ac:dyDescent="0.25">
      <c r="A125" s="53"/>
      <c r="B125" s="53"/>
      <c r="C125" s="53"/>
      <c r="D125" s="53"/>
      <c r="E125" s="53"/>
      <c r="F125" s="53"/>
      <c r="G125" s="53"/>
      <c r="H125" s="53"/>
      <c r="I125" s="53"/>
      <c r="J125" s="53"/>
      <c r="K125" s="53"/>
      <c r="L125" s="53"/>
    </row>
    <row r="126" spans="1:12" ht="16.5" hidden="1" customHeight="1" x14ac:dyDescent="0.25">
      <c r="A126" s="53"/>
      <c r="B126" s="53"/>
      <c r="C126" s="53"/>
      <c r="D126" s="53"/>
      <c r="E126" s="53"/>
      <c r="F126" s="53"/>
      <c r="G126" s="53"/>
      <c r="H126" s="53"/>
      <c r="I126" s="53"/>
      <c r="J126" s="53"/>
      <c r="K126" s="53"/>
      <c r="L126" s="53"/>
    </row>
    <row r="127" spans="1:12" ht="16.5" hidden="1" customHeight="1" x14ac:dyDescent="0.25">
      <c r="A127" s="53"/>
      <c r="B127" s="53"/>
      <c r="C127" s="53"/>
      <c r="D127" s="53"/>
      <c r="E127" s="53"/>
      <c r="F127" s="53"/>
      <c r="G127" s="53"/>
      <c r="H127" s="53"/>
      <c r="I127" s="53"/>
      <c r="J127" s="53"/>
      <c r="K127" s="53"/>
      <c r="L127" s="53"/>
    </row>
    <row r="128" spans="1:12" ht="16.5" hidden="1" customHeight="1" x14ac:dyDescent="0.25">
      <c r="A128" s="53"/>
      <c r="B128" s="53"/>
      <c r="C128" s="53"/>
      <c r="D128" s="53"/>
      <c r="E128" s="53"/>
      <c r="F128" s="53"/>
      <c r="G128" s="53"/>
      <c r="H128" s="53"/>
      <c r="I128" s="53"/>
      <c r="J128" s="53"/>
      <c r="K128" s="53"/>
      <c r="L128" s="53"/>
    </row>
    <row r="129" spans="1:12" ht="16.5" hidden="1" customHeight="1" x14ac:dyDescent="0.25">
      <c r="A129" s="53"/>
      <c r="B129" s="53"/>
      <c r="C129" s="53"/>
      <c r="D129" s="53"/>
      <c r="E129" s="53"/>
      <c r="F129" s="53"/>
      <c r="G129" s="53"/>
      <c r="H129" s="53"/>
      <c r="I129" s="53"/>
      <c r="J129" s="53"/>
      <c r="K129" s="53"/>
      <c r="L129" s="53"/>
    </row>
    <row r="130" spans="1:12" ht="16.5" hidden="1" customHeight="1" x14ac:dyDescent="0.25">
      <c r="A130" s="53"/>
      <c r="B130" s="53"/>
      <c r="C130" s="53"/>
      <c r="D130" s="53"/>
      <c r="E130" s="53"/>
      <c r="F130" s="53"/>
      <c r="G130" s="53"/>
      <c r="H130" s="53"/>
      <c r="I130" s="53"/>
      <c r="J130" s="53"/>
      <c r="K130" s="53"/>
      <c r="L130" s="53"/>
    </row>
    <row r="131" spans="1:12" ht="16.5" hidden="1" customHeight="1" x14ac:dyDescent="0.25">
      <c r="A131" s="53"/>
      <c r="B131" s="53"/>
      <c r="C131" s="53"/>
      <c r="D131" s="53"/>
      <c r="E131" s="53"/>
      <c r="F131" s="53"/>
      <c r="G131" s="53"/>
      <c r="H131" s="53"/>
      <c r="I131" s="53"/>
      <c r="J131" s="53"/>
      <c r="K131" s="53"/>
      <c r="L131" s="53"/>
    </row>
    <row r="132" spans="1:12" ht="16.5" hidden="1" customHeight="1" x14ac:dyDescent="0.25">
      <c r="A132" s="53"/>
      <c r="B132" s="53"/>
      <c r="C132" s="53"/>
      <c r="D132" s="53"/>
      <c r="E132" s="53"/>
      <c r="F132" s="53"/>
      <c r="G132" s="53"/>
      <c r="H132" s="53"/>
      <c r="I132" s="53"/>
      <c r="J132" s="53"/>
      <c r="K132" s="53"/>
      <c r="L132" s="53"/>
    </row>
    <row r="133" spans="1:12" ht="16.5" hidden="1" customHeight="1" x14ac:dyDescent="0.25">
      <c r="A133" s="53"/>
      <c r="B133" s="53"/>
      <c r="C133" s="53"/>
      <c r="D133" s="53"/>
      <c r="E133" s="53"/>
      <c r="F133" s="53"/>
      <c r="G133" s="53"/>
      <c r="H133" s="53"/>
      <c r="I133" s="53"/>
      <c r="J133" s="53"/>
      <c r="K133" s="53"/>
      <c r="L133" s="53"/>
    </row>
    <row r="134" spans="1:12" ht="16.5" hidden="1" customHeight="1" x14ac:dyDescent="0.25">
      <c r="A134" s="53"/>
      <c r="B134" s="53"/>
      <c r="C134" s="53"/>
      <c r="D134" s="53"/>
      <c r="E134" s="53"/>
      <c r="F134" s="53"/>
      <c r="G134" s="53"/>
      <c r="H134" s="53"/>
      <c r="I134" s="53"/>
      <c r="J134" s="53"/>
      <c r="K134" s="53"/>
      <c r="L134" s="53"/>
    </row>
    <row r="135" spans="1:12" ht="16.5" hidden="1" customHeight="1" x14ac:dyDescent="0.25">
      <c r="A135" s="53"/>
      <c r="B135" s="53"/>
      <c r="C135" s="53"/>
      <c r="D135" s="53"/>
      <c r="E135" s="53"/>
      <c r="F135" s="53"/>
      <c r="G135" s="53"/>
      <c r="H135" s="53"/>
      <c r="I135" s="53"/>
      <c r="J135" s="53"/>
      <c r="K135" s="53"/>
      <c r="L135" s="53"/>
    </row>
    <row r="136" spans="1:12" ht="16.5" hidden="1" customHeight="1" x14ac:dyDescent="0.25">
      <c r="A136" s="53"/>
      <c r="B136" s="53"/>
      <c r="C136" s="53"/>
      <c r="D136" s="53"/>
      <c r="E136" s="53"/>
      <c r="F136" s="53"/>
      <c r="G136" s="53"/>
      <c r="H136" s="53"/>
      <c r="I136" s="53"/>
      <c r="J136" s="53"/>
      <c r="K136" s="53"/>
      <c r="L136" s="53"/>
    </row>
    <row r="137" spans="1:12" ht="16.5" hidden="1" customHeight="1" x14ac:dyDescent="0.25">
      <c r="A137" s="53"/>
      <c r="B137" s="53"/>
      <c r="C137" s="53"/>
      <c r="D137" s="53"/>
      <c r="E137" s="53"/>
      <c r="F137" s="53"/>
      <c r="G137" s="53"/>
      <c r="H137" s="53"/>
      <c r="I137" s="53"/>
      <c r="J137" s="53"/>
      <c r="K137" s="53"/>
      <c r="L137" s="53"/>
    </row>
    <row r="138" spans="1:12" ht="16.5" hidden="1" customHeight="1" x14ac:dyDescent="0.25">
      <c r="A138" s="53"/>
      <c r="B138" s="53"/>
      <c r="C138" s="53"/>
      <c r="D138" s="53"/>
      <c r="E138" s="53"/>
      <c r="F138" s="53"/>
      <c r="G138" s="53"/>
      <c r="H138" s="53"/>
      <c r="I138" s="53"/>
      <c r="J138" s="53"/>
      <c r="K138" s="53"/>
      <c r="L138" s="53"/>
    </row>
    <row r="139" spans="1:12" ht="16.5" hidden="1" customHeight="1" x14ac:dyDescent="0.25">
      <c r="A139" s="53"/>
      <c r="B139" s="53"/>
      <c r="C139" s="53"/>
      <c r="D139" s="53"/>
      <c r="E139" s="53"/>
      <c r="F139" s="53"/>
      <c r="G139" s="53"/>
      <c r="H139" s="53"/>
      <c r="I139" s="53"/>
      <c r="J139" s="53"/>
      <c r="K139" s="53"/>
      <c r="L139" s="53"/>
    </row>
    <row r="140" spans="1:12" ht="16.5" hidden="1" customHeight="1" x14ac:dyDescent="0.25">
      <c r="A140" s="53"/>
      <c r="B140" s="53"/>
      <c r="C140" s="53"/>
      <c r="D140" s="53"/>
      <c r="E140" s="53"/>
      <c r="F140" s="53"/>
      <c r="G140" s="53"/>
      <c r="H140" s="53"/>
      <c r="I140" s="53"/>
      <c r="J140" s="53"/>
      <c r="K140" s="53"/>
      <c r="L140" s="53"/>
    </row>
    <row r="141" spans="1:12" ht="16.5" hidden="1" customHeight="1" x14ac:dyDescent="0.25">
      <c r="A141" s="53"/>
      <c r="B141" s="53"/>
      <c r="C141" s="53"/>
      <c r="D141" s="53"/>
      <c r="E141" s="53"/>
      <c r="F141" s="53"/>
      <c r="G141" s="53"/>
      <c r="H141" s="53"/>
      <c r="I141" s="53"/>
      <c r="J141" s="53"/>
      <c r="K141" s="53"/>
      <c r="L141" s="53"/>
    </row>
    <row r="142" spans="1:12" ht="16.5" hidden="1" customHeight="1" x14ac:dyDescent="0.25">
      <c r="A142" s="53"/>
      <c r="B142" s="53"/>
      <c r="C142" s="53"/>
      <c r="D142" s="53"/>
      <c r="E142" s="53"/>
      <c r="F142" s="53"/>
      <c r="G142" s="53"/>
      <c r="H142" s="53"/>
      <c r="I142" s="53"/>
      <c r="J142" s="53"/>
      <c r="K142" s="53"/>
      <c r="L142" s="53"/>
    </row>
    <row r="143" spans="1:12" ht="16.5" hidden="1" customHeight="1" x14ac:dyDescent="0.25">
      <c r="A143" s="53"/>
      <c r="B143" s="53"/>
      <c r="C143" s="53"/>
      <c r="D143" s="53"/>
      <c r="E143" s="53"/>
      <c r="F143" s="53"/>
      <c r="G143" s="53"/>
      <c r="H143" s="53"/>
      <c r="I143" s="53"/>
      <c r="J143" s="53"/>
      <c r="K143" s="53"/>
      <c r="L143" s="53"/>
    </row>
    <row r="144" spans="1:12" ht="16.5" hidden="1" customHeight="1" x14ac:dyDescent="0.25">
      <c r="A144" s="53"/>
      <c r="B144" s="53"/>
      <c r="C144" s="53"/>
      <c r="D144" s="53"/>
      <c r="E144" s="53"/>
      <c r="F144" s="53"/>
      <c r="G144" s="53"/>
      <c r="H144" s="53"/>
      <c r="I144" s="53"/>
      <c r="J144" s="53"/>
      <c r="K144" s="53"/>
      <c r="L144" s="53"/>
    </row>
    <row r="145" spans="1:12" ht="16.5" hidden="1" customHeight="1" x14ac:dyDescent="0.25">
      <c r="A145" s="53"/>
      <c r="B145" s="53"/>
      <c r="C145" s="53"/>
      <c r="D145" s="53"/>
      <c r="E145" s="53"/>
      <c r="F145" s="53"/>
      <c r="G145" s="53"/>
      <c r="H145" s="53"/>
      <c r="I145" s="53"/>
      <c r="J145" s="53"/>
      <c r="K145" s="53"/>
      <c r="L145" s="53"/>
    </row>
    <row r="146" spans="1:12" ht="16.5" hidden="1" customHeight="1" x14ac:dyDescent="0.25">
      <c r="A146" s="53"/>
      <c r="B146" s="53"/>
      <c r="C146" s="53"/>
      <c r="D146" s="53"/>
      <c r="E146" s="53"/>
      <c r="F146" s="53"/>
      <c r="G146" s="53"/>
      <c r="H146" s="53"/>
      <c r="I146" s="53"/>
      <c r="J146" s="53"/>
      <c r="K146" s="53"/>
      <c r="L146" s="53"/>
    </row>
    <row r="147" spans="1:12" ht="16.5" hidden="1" customHeight="1" x14ac:dyDescent="0.25">
      <c r="A147" s="53"/>
      <c r="B147" s="53"/>
      <c r="C147" s="53"/>
      <c r="D147" s="53"/>
      <c r="E147" s="53"/>
      <c r="F147" s="53"/>
      <c r="G147" s="53"/>
      <c r="H147" s="53"/>
      <c r="I147" s="53"/>
      <c r="J147" s="53"/>
      <c r="K147" s="53"/>
      <c r="L147" s="53"/>
    </row>
    <row r="148" spans="1:12" ht="16.5" hidden="1" customHeight="1" x14ac:dyDescent="0.25">
      <c r="A148" s="53"/>
      <c r="B148" s="53"/>
      <c r="C148" s="53"/>
      <c r="D148" s="53"/>
      <c r="E148" s="53"/>
      <c r="F148" s="53"/>
      <c r="G148" s="53"/>
      <c r="H148" s="53"/>
      <c r="I148" s="53"/>
      <c r="J148" s="53"/>
      <c r="K148" s="53"/>
      <c r="L148" s="53"/>
    </row>
    <row r="149" spans="1:12" ht="16.5" hidden="1" customHeight="1" x14ac:dyDescent="0.25">
      <c r="A149" s="53"/>
      <c r="B149" s="53"/>
      <c r="C149" s="53"/>
      <c r="D149" s="53"/>
      <c r="E149" s="53"/>
      <c r="F149" s="53"/>
      <c r="G149" s="53"/>
      <c r="H149" s="53"/>
      <c r="I149" s="53"/>
      <c r="J149" s="53"/>
      <c r="K149" s="53"/>
      <c r="L149" s="53"/>
    </row>
    <row r="150" spans="1:12" ht="16.5" hidden="1" customHeight="1" x14ac:dyDescent="0.25">
      <c r="A150" s="53"/>
      <c r="B150" s="53"/>
      <c r="C150" s="53"/>
      <c r="D150" s="53"/>
      <c r="E150" s="53"/>
      <c r="F150" s="53"/>
      <c r="G150" s="53"/>
      <c r="H150" s="53"/>
      <c r="I150" s="53"/>
      <c r="J150" s="53"/>
      <c r="K150" s="53"/>
      <c r="L150" s="53"/>
    </row>
    <row r="151" spans="1:12" ht="16.5" hidden="1" customHeight="1" x14ac:dyDescent="0.25">
      <c r="A151" s="53"/>
      <c r="B151" s="53"/>
      <c r="C151" s="53"/>
      <c r="D151" s="53"/>
      <c r="E151" s="53"/>
      <c r="F151" s="53"/>
      <c r="G151" s="53"/>
      <c r="H151" s="53"/>
      <c r="I151" s="53"/>
      <c r="J151" s="53"/>
      <c r="K151" s="53"/>
      <c r="L151" s="53"/>
    </row>
    <row r="152" spans="1:12" ht="16.5" hidden="1" customHeight="1" x14ac:dyDescent="0.25">
      <c r="A152" s="53"/>
      <c r="B152" s="53"/>
      <c r="C152" s="53"/>
      <c r="D152" s="53"/>
      <c r="E152" s="53"/>
      <c r="F152" s="53"/>
      <c r="G152" s="53"/>
      <c r="H152" s="53"/>
      <c r="I152" s="53"/>
      <c r="J152" s="53"/>
      <c r="K152" s="53"/>
      <c r="L152" s="53"/>
    </row>
    <row r="153" spans="1:12" ht="16.5" hidden="1" customHeight="1" x14ac:dyDescent="0.25">
      <c r="A153" s="53"/>
      <c r="B153" s="53"/>
      <c r="C153" s="53"/>
      <c r="D153" s="53"/>
      <c r="E153" s="53"/>
      <c r="F153" s="53"/>
      <c r="G153" s="53"/>
      <c r="H153" s="53"/>
      <c r="I153" s="53"/>
      <c r="J153" s="53"/>
      <c r="K153" s="53"/>
      <c r="L153" s="53"/>
    </row>
    <row r="154" spans="1:12" ht="16.5" hidden="1" customHeight="1" x14ac:dyDescent="0.25">
      <c r="A154" s="53"/>
      <c r="B154" s="53"/>
      <c r="C154" s="53"/>
      <c r="D154" s="53"/>
      <c r="E154" s="53"/>
      <c r="F154" s="53"/>
      <c r="G154" s="53"/>
      <c r="H154" s="53"/>
      <c r="I154" s="53"/>
      <c r="J154" s="53"/>
      <c r="K154" s="53"/>
      <c r="L154" s="53"/>
    </row>
    <row r="155" spans="1:12" ht="16.5" hidden="1" customHeight="1" x14ac:dyDescent="0.25">
      <c r="A155" s="53"/>
      <c r="B155" s="53"/>
      <c r="C155" s="53"/>
      <c r="D155" s="53"/>
      <c r="E155" s="53"/>
      <c r="F155" s="53"/>
      <c r="G155" s="53"/>
      <c r="H155" s="53"/>
      <c r="I155" s="53"/>
      <c r="J155" s="53"/>
      <c r="K155" s="53"/>
      <c r="L155" s="53"/>
    </row>
    <row r="156" spans="1:12" ht="16.5" hidden="1" customHeight="1" x14ac:dyDescent="0.25">
      <c r="A156" s="53"/>
      <c r="B156" s="53"/>
      <c r="C156" s="53"/>
      <c r="D156" s="53"/>
      <c r="E156" s="53"/>
      <c r="F156" s="53"/>
      <c r="G156" s="53"/>
      <c r="H156" s="53"/>
      <c r="I156" s="53"/>
      <c r="J156" s="53"/>
      <c r="K156" s="53"/>
      <c r="L156" s="53"/>
    </row>
    <row r="157" spans="1:12" ht="16.5" hidden="1" customHeight="1" x14ac:dyDescent="0.25">
      <c r="A157" s="53"/>
      <c r="B157" s="53"/>
      <c r="C157" s="53"/>
      <c r="D157" s="53"/>
      <c r="E157" s="53"/>
      <c r="F157" s="53"/>
      <c r="G157" s="53"/>
      <c r="H157" s="53"/>
      <c r="I157" s="53"/>
      <c r="J157" s="53"/>
      <c r="K157" s="53"/>
      <c r="L157" s="53"/>
    </row>
    <row r="158" spans="1:12" ht="16.5" hidden="1" customHeight="1" x14ac:dyDescent="0.25">
      <c r="A158" s="53"/>
      <c r="B158" s="53"/>
      <c r="C158" s="53"/>
      <c r="D158" s="53"/>
      <c r="E158" s="53"/>
      <c r="F158" s="53"/>
      <c r="G158" s="53"/>
      <c r="H158" s="53"/>
      <c r="I158" s="53"/>
      <c r="J158" s="53"/>
      <c r="K158" s="53"/>
      <c r="L158" s="53"/>
    </row>
    <row r="159" spans="1:12" ht="16.5" hidden="1" customHeight="1" x14ac:dyDescent="0.25">
      <c r="A159" s="53"/>
      <c r="B159" s="53"/>
      <c r="C159" s="53"/>
      <c r="D159" s="53"/>
      <c r="E159" s="53"/>
      <c r="F159" s="53"/>
      <c r="G159" s="53"/>
      <c r="H159" s="53"/>
      <c r="I159" s="53"/>
      <c r="J159" s="53"/>
      <c r="K159" s="53"/>
      <c r="L159" s="53"/>
    </row>
    <row r="160" spans="1:12" ht="16.5" hidden="1" customHeight="1" x14ac:dyDescent="0.25">
      <c r="A160" s="53"/>
      <c r="B160" s="53"/>
      <c r="C160" s="53"/>
      <c r="D160" s="53"/>
      <c r="E160" s="53"/>
      <c r="F160" s="53"/>
      <c r="G160" s="53"/>
      <c r="H160" s="53"/>
      <c r="I160" s="53"/>
      <c r="J160" s="53"/>
      <c r="K160" s="53"/>
      <c r="L160" s="53"/>
    </row>
    <row r="161" spans="1:12" ht="16.5" hidden="1" customHeight="1" x14ac:dyDescent="0.25">
      <c r="A161" s="53"/>
      <c r="B161" s="53"/>
      <c r="C161" s="53"/>
      <c r="D161" s="53"/>
      <c r="E161" s="53"/>
      <c r="F161" s="53"/>
      <c r="G161" s="53"/>
      <c r="H161" s="53"/>
      <c r="I161" s="53"/>
      <c r="J161" s="53"/>
      <c r="K161" s="53"/>
      <c r="L161" s="53"/>
    </row>
    <row r="162" spans="1:12" ht="16.5" hidden="1" customHeight="1" x14ac:dyDescent="0.25">
      <c r="A162" s="53"/>
      <c r="B162" s="53"/>
      <c r="C162" s="53"/>
      <c r="D162" s="53"/>
      <c r="E162" s="53"/>
      <c r="F162" s="53"/>
      <c r="G162" s="53"/>
      <c r="H162" s="53"/>
      <c r="I162" s="53"/>
      <c r="J162" s="53"/>
      <c r="K162" s="53"/>
      <c r="L162" s="53"/>
    </row>
    <row r="163" spans="1:12" ht="16.5" hidden="1" customHeight="1" x14ac:dyDescent="0.25">
      <c r="A163" s="53"/>
      <c r="B163" s="53"/>
      <c r="C163" s="53"/>
      <c r="D163" s="53"/>
      <c r="E163" s="53"/>
      <c r="F163" s="53"/>
      <c r="G163" s="53"/>
      <c r="H163" s="53"/>
      <c r="I163" s="53"/>
      <c r="J163" s="53"/>
      <c r="K163" s="53"/>
      <c r="L163" s="53"/>
    </row>
    <row r="164" spans="1:12" ht="16.5" hidden="1" customHeight="1" x14ac:dyDescent="0.25">
      <c r="A164" s="53"/>
      <c r="B164" s="53"/>
      <c r="C164" s="53"/>
      <c r="D164" s="53"/>
      <c r="E164" s="53"/>
      <c r="F164" s="53"/>
      <c r="G164" s="53"/>
      <c r="H164" s="53"/>
      <c r="I164" s="53"/>
      <c r="J164" s="53"/>
      <c r="K164" s="53"/>
      <c r="L164" s="53"/>
    </row>
    <row r="165" spans="1:12" ht="16.5" hidden="1" customHeight="1" x14ac:dyDescent="0.25">
      <c r="A165" s="53"/>
      <c r="B165" s="53"/>
      <c r="C165" s="53"/>
      <c r="D165" s="53"/>
      <c r="E165" s="53"/>
      <c r="F165" s="53"/>
      <c r="G165" s="53"/>
      <c r="H165" s="53"/>
      <c r="I165" s="53"/>
      <c r="J165" s="53"/>
      <c r="K165" s="53"/>
      <c r="L165" s="53"/>
    </row>
    <row r="166" spans="1:12" ht="16.5" hidden="1" customHeight="1" x14ac:dyDescent="0.25">
      <c r="A166" s="53"/>
      <c r="B166" s="53"/>
      <c r="C166" s="53"/>
      <c r="D166" s="53"/>
      <c r="E166" s="53"/>
      <c r="F166" s="53"/>
      <c r="G166" s="53"/>
      <c r="H166" s="53"/>
      <c r="I166" s="53"/>
      <c r="J166" s="53"/>
      <c r="K166" s="53"/>
      <c r="L166" s="53"/>
    </row>
    <row r="167" spans="1:12" ht="16.5" hidden="1" customHeight="1" x14ac:dyDescent="0.25">
      <c r="A167" s="53"/>
      <c r="B167" s="53"/>
      <c r="C167" s="53"/>
      <c r="D167" s="53"/>
      <c r="E167" s="53"/>
      <c r="F167" s="53"/>
      <c r="G167" s="53"/>
      <c r="H167" s="53"/>
      <c r="I167" s="53"/>
      <c r="J167" s="53"/>
      <c r="K167" s="53"/>
      <c r="L167" s="53"/>
    </row>
    <row r="168" spans="1:12" ht="16.5" hidden="1" customHeight="1" x14ac:dyDescent="0.25">
      <c r="A168" s="53"/>
      <c r="B168" s="53"/>
      <c r="C168" s="53"/>
      <c r="D168" s="53"/>
      <c r="E168" s="53"/>
      <c r="F168" s="53"/>
      <c r="G168" s="53"/>
      <c r="H168" s="53"/>
      <c r="I168" s="53"/>
      <c r="J168" s="53"/>
      <c r="K168" s="53"/>
      <c r="L168" s="53"/>
    </row>
    <row r="169" spans="1:12" ht="16.5" hidden="1" customHeight="1" x14ac:dyDescent="0.25">
      <c r="A169" s="53"/>
      <c r="B169" s="53"/>
      <c r="C169" s="53"/>
      <c r="D169" s="53"/>
      <c r="E169" s="53"/>
      <c r="F169" s="53"/>
      <c r="G169" s="53"/>
      <c r="H169" s="53"/>
      <c r="I169" s="53"/>
      <c r="J169" s="53"/>
      <c r="K169" s="53"/>
      <c r="L169" s="53"/>
    </row>
    <row r="170" spans="1:12" ht="16.5" hidden="1" customHeight="1" x14ac:dyDescent="0.25">
      <c r="A170" s="53"/>
      <c r="B170" s="53"/>
      <c r="C170" s="53"/>
      <c r="D170" s="53"/>
      <c r="E170" s="53"/>
      <c r="F170" s="53"/>
      <c r="G170" s="53"/>
      <c r="H170" s="53"/>
      <c r="I170" s="53"/>
      <c r="J170" s="53"/>
      <c r="K170" s="53"/>
      <c r="L170" s="53"/>
    </row>
    <row r="171" spans="1:12" ht="16.5" hidden="1" customHeight="1" x14ac:dyDescent="0.25">
      <c r="A171" s="53"/>
      <c r="B171" s="53"/>
      <c r="C171" s="53"/>
      <c r="D171" s="53"/>
      <c r="E171" s="53"/>
      <c r="F171" s="53"/>
      <c r="G171" s="53"/>
      <c r="H171" s="53"/>
      <c r="I171" s="53"/>
      <c r="J171" s="53"/>
      <c r="K171" s="53"/>
      <c r="L171" s="53"/>
    </row>
    <row r="172" spans="1:12" ht="16.5" hidden="1" customHeight="1" x14ac:dyDescent="0.25">
      <c r="A172" s="53"/>
      <c r="B172" s="53"/>
      <c r="C172" s="53"/>
      <c r="D172" s="53"/>
      <c r="E172" s="53"/>
      <c r="F172" s="53"/>
      <c r="G172" s="53"/>
      <c r="H172" s="53"/>
      <c r="I172" s="53"/>
      <c r="J172" s="53"/>
      <c r="K172" s="53"/>
      <c r="L172" s="53"/>
    </row>
    <row r="173" spans="1:12" ht="16.5" hidden="1" customHeight="1" x14ac:dyDescent="0.25">
      <c r="A173" s="53"/>
      <c r="B173" s="53"/>
      <c r="C173" s="53"/>
      <c r="D173" s="53"/>
      <c r="E173" s="53"/>
      <c r="F173" s="53"/>
      <c r="G173" s="53"/>
      <c r="H173" s="53"/>
      <c r="I173" s="53"/>
      <c r="J173" s="53"/>
      <c r="K173" s="53"/>
      <c r="L173" s="53"/>
    </row>
    <row r="174" spans="1:12" ht="16.5" hidden="1" customHeight="1" x14ac:dyDescent="0.25">
      <c r="A174" s="53"/>
      <c r="B174" s="53"/>
      <c r="C174" s="53"/>
      <c r="D174" s="53"/>
      <c r="E174" s="53"/>
      <c r="F174" s="53"/>
      <c r="G174" s="53"/>
      <c r="H174" s="53"/>
      <c r="I174" s="53"/>
      <c r="J174" s="53"/>
      <c r="K174" s="53"/>
      <c r="L174" s="53"/>
    </row>
    <row r="175" spans="1:12" ht="16.5" hidden="1" customHeight="1" x14ac:dyDescent="0.25">
      <c r="A175" s="53"/>
      <c r="B175" s="53"/>
      <c r="C175" s="53"/>
      <c r="D175" s="53"/>
      <c r="E175" s="53"/>
      <c r="F175" s="53"/>
      <c r="G175" s="53"/>
      <c r="H175" s="53"/>
      <c r="I175" s="53"/>
      <c r="J175" s="53"/>
      <c r="K175" s="53"/>
      <c r="L175" s="53"/>
    </row>
    <row r="176" spans="1:12" ht="16.5" hidden="1" customHeight="1" x14ac:dyDescent="0.25">
      <c r="A176" s="53"/>
      <c r="B176" s="53"/>
      <c r="C176" s="53"/>
      <c r="D176" s="53"/>
      <c r="E176" s="53"/>
      <c r="F176" s="53"/>
      <c r="G176" s="53"/>
      <c r="H176" s="53"/>
      <c r="I176" s="53"/>
      <c r="J176" s="53"/>
      <c r="K176" s="53"/>
      <c r="L176" s="53"/>
    </row>
    <row r="177" spans="1:12" ht="16.5" hidden="1" customHeight="1" x14ac:dyDescent="0.25">
      <c r="A177" s="53"/>
      <c r="B177" s="53"/>
      <c r="C177" s="53"/>
      <c r="D177" s="53"/>
      <c r="E177" s="53"/>
      <c r="F177" s="53"/>
      <c r="G177" s="53"/>
      <c r="H177" s="53"/>
      <c r="I177" s="53"/>
      <c r="J177" s="53"/>
      <c r="K177" s="53"/>
      <c r="L177" s="53"/>
    </row>
    <row r="178" spans="1:12" ht="16.5" hidden="1" customHeight="1" x14ac:dyDescent="0.25">
      <c r="A178" s="53"/>
      <c r="B178" s="53"/>
      <c r="C178" s="53"/>
      <c r="D178" s="53"/>
      <c r="E178" s="53"/>
      <c r="F178" s="53"/>
      <c r="G178" s="53"/>
      <c r="H178" s="53"/>
      <c r="I178" s="53"/>
      <c r="J178" s="53"/>
      <c r="K178" s="53"/>
      <c r="L178" s="53"/>
    </row>
    <row r="179" spans="1:12" ht="16.5" hidden="1" customHeight="1" x14ac:dyDescent="0.25">
      <c r="A179" s="53"/>
      <c r="B179" s="53"/>
      <c r="C179" s="53"/>
      <c r="D179" s="53"/>
      <c r="E179" s="53"/>
      <c r="F179" s="53"/>
      <c r="G179" s="53"/>
      <c r="H179" s="53"/>
      <c r="I179" s="53"/>
      <c r="J179" s="53"/>
      <c r="K179" s="53"/>
      <c r="L179" s="53"/>
    </row>
    <row r="180" spans="1:12" ht="16.5" hidden="1" customHeight="1" x14ac:dyDescent="0.25">
      <c r="A180" s="53"/>
      <c r="B180" s="53"/>
      <c r="C180" s="53"/>
      <c r="D180" s="53"/>
      <c r="E180" s="53"/>
      <c r="F180" s="53"/>
      <c r="G180" s="53"/>
      <c r="H180" s="53"/>
      <c r="I180" s="53"/>
      <c r="J180" s="53"/>
      <c r="K180" s="53"/>
      <c r="L180" s="53"/>
    </row>
    <row r="181" spans="1:12" ht="16.5" hidden="1" customHeight="1" x14ac:dyDescent="0.25">
      <c r="A181" s="53"/>
      <c r="B181" s="53"/>
      <c r="C181" s="53"/>
      <c r="D181" s="53"/>
      <c r="E181" s="53"/>
      <c r="F181" s="53"/>
      <c r="G181" s="53"/>
      <c r="H181" s="53"/>
      <c r="I181" s="53"/>
      <c r="J181" s="53"/>
      <c r="K181" s="53"/>
      <c r="L181" s="53"/>
    </row>
    <row r="182" spans="1:12" ht="16.5" hidden="1" customHeight="1" x14ac:dyDescent="0.25">
      <c r="A182" s="53"/>
      <c r="B182" s="53"/>
      <c r="C182" s="53"/>
      <c r="D182" s="53"/>
      <c r="E182" s="53"/>
      <c r="F182" s="53"/>
      <c r="G182" s="53"/>
      <c r="H182" s="53"/>
      <c r="I182" s="53"/>
      <c r="J182" s="53"/>
      <c r="K182" s="53"/>
      <c r="L182" s="53"/>
    </row>
    <row r="183" spans="1:12" ht="16.5" hidden="1" customHeight="1" x14ac:dyDescent="0.25">
      <c r="A183" s="53"/>
      <c r="B183" s="53"/>
      <c r="C183" s="53"/>
      <c r="D183" s="53"/>
      <c r="E183" s="53"/>
      <c r="F183" s="53"/>
      <c r="G183" s="53"/>
      <c r="H183" s="53"/>
      <c r="I183" s="53"/>
      <c r="J183" s="53"/>
      <c r="K183" s="53"/>
      <c r="L183" s="53"/>
    </row>
    <row r="184" spans="1:12" ht="16.5" hidden="1" customHeight="1" x14ac:dyDescent="0.25">
      <c r="A184" s="53"/>
      <c r="B184" s="53"/>
      <c r="C184" s="53"/>
      <c r="D184" s="53"/>
      <c r="E184" s="53"/>
      <c r="F184" s="53"/>
      <c r="G184" s="53"/>
      <c r="H184" s="53"/>
      <c r="I184" s="53"/>
      <c r="J184" s="53"/>
      <c r="K184" s="53"/>
      <c r="L184" s="53"/>
    </row>
    <row r="185" spans="1:12" ht="16.5" hidden="1" customHeight="1" x14ac:dyDescent="0.25">
      <c r="A185" s="53"/>
      <c r="B185" s="53"/>
      <c r="C185" s="53"/>
      <c r="D185" s="53"/>
      <c r="E185" s="53"/>
      <c r="F185" s="53"/>
      <c r="G185" s="53"/>
      <c r="H185" s="53"/>
      <c r="I185" s="53"/>
      <c r="J185" s="53"/>
      <c r="K185" s="53"/>
      <c r="L185" s="53"/>
    </row>
    <row r="186" spans="1:12" ht="16.5" hidden="1" customHeight="1" x14ac:dyDescent="0.25">
      <c r="A186" s="53"/>
      <c r="B186" s="53"/>
      <c r="C186" s="53"/>
      <c r="D186" s="53"/>
      <c r="E186" s="53"/>
      <c r="F186" s="53"/>
      <c r="G186" s="53"/>
      <c r="H186" s="53"/>
      <c r="I186" s="53"/>
      <c r="J186" s="53"/>
      <c r="K186" s="53"/>
      <c r="L186" s="53"/>
    </row>
    <row r="187" spans="1:12" ht="16.5" hidden="1" customHeight="1" x14ac:dyDescent="0.25">
      <c r="A187" s="53"/>
      <c r="B187" s="53"/>
      <c r="C187" s="53"/>
      <c r="D187" s="53"/>
      <c r="E187" s="53"/>
      <c r="F187" s="53"/>
      <c r="G187" s="53"/>
      <c r="H187" s="53"/>
      <c r="I187" s="53"/>
      <c r="J187" s="53"/>
      <c r="K187" s="53"/>
      <c r="L187" s="53"/>
    </row>
    <row r="188" spans="1:12" ht="16.5" hidden="1" customHeight="1" x14ac:dyDescent="0.25">
      <c r="A188" s="53"/>
      <c r="B188" s="53"/>
      <c r="C188" s="53"/>
      <c r="D188" s="53"/>
      <c r="E188" s="53"/>
      <c r="F188" s="53"/>
      <c r="G188" s="53"/>
      <c r="H188" s="53"/>
      <c r="I188" s="53"/>
      <c r="J188" s="53"/>
      <c r="K188" s="53"/>
      <c r="L188" s="53"/>
    </row>
    <row r="189" spans="1:12" ht="16.5" hidden="1" customHeight="1" x14ac:dyDescent="0.25">
      <c r="A189" s="53"/>
      <c r="B189" s="53"/>
      <c r="C189" s="53"/>
      <c r="D189" s="53"/>
      <c r="E189" s="53"/>
      <c r="F189" s="53"/>
      <c r="G189" s="53"/>
      <c r="H189" s="53"/>
      <c r="I189" s="53"/>
      <c r="J189" s="53"/>
      <c r="K189" s="53"/>
      <c r="L189" s="53"/>
    </row>
    <row r="190" spans="1:12" ht="16.5" hidden="1" customHeight="1" x14ac:dyDescent="0.25">
      <c r="A190" s="53"/>
      <c r="B190" s="53"/>
      <c r="C190" s="53"/>
      <c r="D190" s="53"/>
      <c r="E190" s="53"/>
      <c r="F190" s="53"/>
      <c r="G190" s="53"/>
      <c r="H190" s="53"/>
      <c r="I190" s="53"/>
      <c r="J190" s="53"/>
      <c r="K190" s="53"/>
      <c r="L190" s="53"/>
    </row>
    <row r="191" spans="1:12" ht="16.5" hidden="1" customHeight="1" x14ac:dyDescent="0.25">
      <c r="A191" s="53"/>
      <c r="B191" s="53"/>
      <c r="C191" s="53"/>
      <c r="D191" s="53"/>
      <c r="E191" s="53"/>
      <c r="F191" s="53"/>
      <c r="G191" s="53"/>
      <c r="H191" s="53"/>
      <c r="I191" s="53"/>
      <c r="J191" s="53"/>
      <c r="K191" s="53"/>
      <c r="L191" s="53"/>
    </row>
    <row r="192" spans="1:12" ht="16.5" hidden="1" customHeight="1" x14ac:dyDescent="0.25">
      <c r="A192" s="53"/>
      <c r="B192" s="53"/>
      <c r="C192" s="53"/>
      <c r="D192" s="53"/>
      <c r="E192" s="53"/>
      <c r="F192" s="53"/>
      <c r="G192" s="53"/>
      <c r="H192" s="53"/>
      <c r="I192" s="53"/>
      <c r="J192" s="53"/>
      <c r="K192" s="53"/>
      <c r="L192" s="53"/>
    </row>
    <row r="193" spans="1:12" ht="16.5" hidden="1" customHeight="1" x14ac:dyDescent="0.25">
      <c r="A193" s="53"/>
      <c r="B193" s="53"/>
      <c r="C193" s="53"/>
      <c r="D193" s="53"/>
      <c r="E193" s="53"/>
      <c r="F193" s="53"/>
      <c r="G193" s="53"/>
      <c r="H193" s="53"/>
      <c r="I193" s="53"/>
      <c r="J193" s="53"/>
      <c r="K193" s="53"/>
      <c r="L193" s="53"/>
    </row>
    <row r="194" spans="1:12" ht="16.5" hidden="1" customHeight="1" x14ac:dyDescent="0.25">
      <c r="A194" s="53"/>
      <c r="B194" s="53"/>
      <c r="C194" s="53"/>
      <c r="D194" s="53"/>
      <c r="E194" s="53"/>
      <c r="F194" s="53"/>
      <c r="G194" s="53"/>
      <c r="H194" s="53"/>
      <c r="I194" s="53"/>
      <c r="J194" s="53"/>
      <c r="K194" s="53"/>
      <c r="L194" s="53"/>
    </row>
    <row r="195" spans="1:12" ht="16.5" hidden="1" customHeight="1" x14ac:dyDescent="0.25">
      <c r="A195" s="53"/>
      <c r="B195" s="53"/>
      <c r="C195" s="53"/>
      <c r="D195" s="53"/>
      <c r="E195" s="53"/>
      <c r="F195" s="53"/>
      <c r="G195" s="53"/>
      <c r="H195" s="53"/>
      <c r="I195" s="53"/>
      <c r="J195" s="53"/>
      <c r="K195" s="53"/>
      <c r="L195" s="53"/>
    </row>
    <row r="196" spans="1:12" ht="16.5" hidden="1" customHeight="1" x14ac:dyDescent="0.25">
      <c r="A196" s="53"/>
      <c r="B196" s="53"/>
      <c r="C196" s="53"/>
      <c r="D196" s="53"/>
      <c r="E196" s="53"/>
      <c r="F196" s="53"/>
      <c r="G196" s="53"/>
      <c r="H196" s="53"/>
      <c r="I196" s="53"/>
      <c r="J196" s="53"/>
      <c r="K196" s="53"/>
      <c r="L196" s="53"/>
    </row>
    <row r="197" spans="1:12" ht="16.5" hidden="1" customHeight="1" x14ac:dyDescent="0.25">
      <c r="A197" s="53"/>
      <c r="B197" s="53"/>
      <c r="C197" s="53"/>
      <c r="D197" s="53"/>
      <c r="E197" s="53"/>
      <c r="F197" s="53"/>
      <c r="G197" s="53"/>
      <c r="H197" s="53"/>
      <c r="I197" s="53"/>
      <c r="J197" s="53"/>
      <c r="K197" s="53"/>
      <c r="L197" s="53"/>
    </row>
    <row r="198" spans="1:12" ht="16.5" hidden="1" customHeight="1" x14ac:dyDescent="0.25">
      <c r="A198" s="53"/>
      <c r="B198" s="53"/>
      <c r="C198" s="53"/>
      <c r="D198" s="53"/>
      <c r="E198" s="53"/>
      <c r="F198" s="53"/>
      <c r="G198" s="53"/>
      <c r="H198" s="53"/>
      <c r="I198" s="53"/>
      <c r="J198" s="53"/>
      <c r="K198" s="53"/>
      <c r="L198" s="53"/>
    </row>
    <row r="199" spans="1:12" ht="16.5" hidden="1" customHeight="1" x14ac:dyDescent="0.25">
      <c r="A199" s="53"/>
      <c r="B199" s="53"/>
      <c r="C199" s="53"/>
      <c r="D199" s="53"/>
      <c r="E199" s="53"/>
      <c r="F199" s="53"/>
      <c r="G199" s="53"/>
      <c r="H199" s="53"/>
      <c r="I199" s="53"/>
      <c r="J199" s="53"/>
      <c r="K199" s="53"/>
      <c r="L199" s="53"/>
    </row>
    <row r="200" spans="1:12" ht="16.5" hidden="1" customHeight="1" x14ac:dyDescent="0.25">
      <c r="A200" s="53"/>
      <c r="B200" s="53"/>
      <c r="C200" s="53"/>
      <c r="D200" s="53"/>
      <c r="E200" s="53"/>
      <c r="F200" s="53"/>
      <c r="G200" s="53"/>
      <c r="H200" s="53"/>
      <c r="I200" s="53"/>
      <c r="J200" s="53"/>
      <c r="K200" s="53"/>
      <c r="L200" s="53"/>
    </row>
    <row r="201" spans="1:12" ht="16.5" hidden="1" customHeight="1" x14ac:dyDescent="0.25">
      <c r="A201" s="53"/>
      <c r="B201" s="53"/>
      <c r="C201" s="53"/>
      <c r="D201" s="53"/>
      <c r="E201" s="53"/>
      <c r="F201" s="53"/>
      <c r="G201" s="53"/>
      <c r="H201" s="53"/>
      <c r="I201" s="53"/>
      <c r="J201" s="53"/>
      <c r="K201" s="53"/>
      <c r="L201" s="53"/>
    </row>
    <row r="202" spans="1:12" ht="15" hidden="1" customHeight="1" x14ac:dyDescent="0.25"/>
    <row r="203" spans="1:12" ht="15" hidden="1" customHeight="1" x14ac:dyDescent="0.25"/>
    <row r="204" spans="1:12" ht="15" hidden="1" customHeight="1" x14ac:dyDescent="0.25"/>
    <row r="205" spans="1:12" ht="15" hidden="1" customHeight="1" x14ac:dyDescent="0.25"/>
    <row r="206" spans="1:12" ht="15" hidden="1" customHeight="1" x14ac:dyDescent="0.25"/>
    <row r="207" spans="1:12" ht="15" hidden="1" customHeight="1" x14ac:dyDescent="0.25"/>
    <row r="208" spans="1:12"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sheetData>
  <sheetProtection algorithmName="SHA-512" hashValue="+Ox4Ud66Kskm3dq4loE5xMY1ZX1nkQPndI/BIgtH0FGQJx2G90IrsP4O5yLLI3FshptmT225MQ3MZunzzC4cXg==" saltValue="r0RhoE/GU26sjCQy6+WjbA==" spinCount="100000" sheet="1" objects="1" scenarios="1"/>
  <mergeCells count="34">
    <mergeCell ref="A75:L75"/>
    <mergeCell ref="B72:F72"/>
    <mergeCell ref="B73:F73"/>
    <mergeCell ref="G30:G31"/>
    <mergeCell ref="H24:J24"/>
    <mergeCell ref="H25:J26"/>
    <mergeCell ref="H30:J31"/>
    <mergeCell ref="H27:J29"/>
    <mergeCell ref="B25:B26"/>
    <mergeCell ref="C25:C26"/>
    <mergeCell ref="D25:D26"/>
    <mergeCell ref="G25:G26"/>
    <mergeCell ref="G27:G29"/>
    <mergeCell ref="B67:D67"/>
    <mergeCell ref="B71:F71"/>
    <mergeCell ref="H71:I71"/>
    <mergeCell ref="A1:L1"/>
    <mergeCell ref="B11:E11"/>
    <mergeCell ref="B12:E12"/>
    <mergeCell ref="B23:D24"/>
    <mergeCell ref="A5:L7"/>
    <mergeCell ref="B18:J19"/>
    <mergeCell ref="B20:J21"/>
    <mergeCell ref="F23:L23"/>
    <mergeCell ref="H2:J4"/>
    <mergeCell ref="A9:L9"/>
    <mergeCell ref="A14:L14"/>
    <mergeCell ref="H72:I72"/>
    <mergeCell ref="H73:I73"/>
    <mergeCell ref="N25:N26"/>
    <mergeCell ref="O25:O26"/>
    <mergeCell ref="P25:P26"/>
    <mergeCell ref="A69:L69"/>
    <mergeCell ref="A42:L42"/>
  </mergeCells>
  <conditionalFormatting sqref="G72:G73">
    <cfRule type="expression" dxfId="93" priority="4">
      <formula>#REF!&lt;&gt;"Prescriptive Path"</formula>
    </cfRule>
  </conditionalFormatting>
  <conditionalFormatting sqref="H71:I71">
    <cfRule type="expression" dxfId="92" priority="3">
      <formula>#REF!&lt;&gt;"Prescriptive Path"</formula>
    </cfRule>
  </conditionalFormatting>
  <conditionalFormatting sqref="H72">
    <cfRule type="expression" dxfId="91" priority="2">
      <formula>#REF!&lt;&gt;"Prescriptive Path"</formula>
    </cfRule>
  </conditionalFormatting>
  <conditionalFormatting sqref="H73">
    <cfRule type="expression" dxfId="90" priority="1">
      <formula>#REF!&lt;&gt;"Prescriptive Path"</formula>
    </cfRule>
  </conditionalFormatting>
  <dataValidations count="3">
    <dataValidation type="list" allowBlank="1" showInputMessage="1" showErrorMessage="1" sqref="G72:G73">
      <formula1>"Select, Submitted,Not submitted"</formula1>
    </dataValidation>
    <dataValidation type="list" allowBlank="1" showInputMessage="1" showErrorMessage="1" sqref="D51:D65">
      <formula1>"Select,Class I,Class II,Class III"</formula1>
    </dataValidation>
    <dataValidation allowBlank="1" showInputMessage="1" showErrorMessage="1" prompt="Floor/wall located between which rooms?" sqref="C51:C65"/>
  </dataValidations>
  <hyperlinks>
    <hyperlink ref="K3" location="'H-2 Ventilation in wet areas'!E3" tooltip="H-2" display="H-2"/>
    <hyperlink ref="L2" location="'H-4 Daylighting'!E3" tooltip="H-4" display="H-4"/>
    <hyperlink ref="L3" location="'H&amp;C BPC'!D3" tooltip="BPC" display="BPC"/>
    <hyperlink ref="K2" location="'H-1 Fresh Air Supply'!B3" tooltip="H-1" display="H-1"/>
    <hyperlink ref="K4" location="'H-3 Low-VOC Emissions '!B3" tooltip="H-3" display="H-3"/>
  </hyperlinks>
  <pageMargins left="0.7" right="0.7" top="0.75" bottom="0.75" header="0.3" footer="0.3"/>
  <pageSetup orientation="portrait"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943634"/>
  </sheetPr>
  <dimension ref="A1:N234"/>
  <sheetViews>
    <sheetView showRowColHeaders="0" zoomScaleNormal="100" workbookViewId="0">
      <pane ySplit="7" topLeftCell="A14" activePane="bottomLeft" state="frozen"/>
      <selection pane="bottomLeft" activeCell="E28" sqref="E28"/>
    </sheetView>
  </sheetViews>
  <sheetFormatPr defaultColWidth="0" defaultRowHeight="15" customHeight="1" zeroHeight="1" x14ac:dyDescent="0.25"/>
  <cols>
    <col min="1" max="1" width="4.7109375" style="42" customWidth="1"/>
    <col min="2" max="3" width="18.28515625" style="42" customWidth="1"/>
    <col min="4" max="6" width="18.42578125" style="42" customWidth="1"/>
    <col min="7" max="7" width="19.42578125" style="42" customWidth="1"/>
    <col min="8" max="8" width="24.28515625" style="42" customWidth="1"/>
    <col min="9" max="9" width="15.42578125" style="42" customWidth="1"/>
    <col min="10" max="10" width="11.85546875" style="42" customWidth="1"/>
    <col min="11" max="11" width="9.140625" style="42" customWidth="1"/>
    <col min="12" max="12" width="9.28515625" style="42" customWidth="1"/>
    <col min="13" max="16384" width="9.140625" style="42" hidden="1"/>
  </cols>
  <sheetData>
    <row r="1" spans="1:14" ht="23.25" x14ac:dyDescent="0.25">
      <c r="A1" s="1207" t="s">
        <v>723</v>
      </c>
      <c r="B1" s="1207"/>
      <c r="C1" s="1207"/>
      <c r="D1" s="1207"/>
      <c r="E1" s="1207"/>
      <c r="F1" s="1207"/>
      <c r="G1" s="1207"/>
      <c r="H1" s="1207"/>
      <c r="I1" s="1207"/>
      <c r="J1" s="1207"/>
      <c r="K1" s="1207"/>
      <c r="L1" s="1207"/>
    </row>
    <row r="2" spans="1:14" ht="15" customHeight="1" x14ac:dyDescent="0.25">
      <c r="A2" s="53"/>
      <c r="B2" s="54"/>
      <c r="C2" s="54"/>
      <c r="D2" s="54"/>
      <c r="E2" s="54"/>
      <c r="F2" s="53"/>
      <c r="G2" s="53"/>
      <c r="H2" s="53"/>
      <c r="I2" s="1652" t="s">
        <v>557</v>
      </c>
      <c r="J2" s="1652"/>
      <c r="K2" s="822" t="s">
        <v>83</v>
      </c>
      <c r="L2" s="822" t="s">
        <v>95</v>
      </c>
    </row>
    <row r="3" spans="1:14" ht="15" customHeight="1" x14ac:dyDescent="0.25">
      <c r="A3" s="53"/>
      <c r="B3" s="54"/>
      <c r="C3" s="54"/>
      <c r="D3" s="54"/>
      <c r="E3" s="54"/>
      <c r="F3" s="53"/>
      <c r="G3" s="53"/>
      <c r="H3" s="53"/>
      <c r="I3" s="1652"/>
      <c r="J3" s="1652"/>
      <c r="K3" s="822" t="s">
        <v>85</v>
      </c>
      <c r="L3" s="822" t="s">
        <v>806</v>
      </c>
    </row>
    <row r="4" spans="1:14" ht="15" customHeight="1" x14ac:dyDescent="0.25">
      <c r="A4" s="53"/>
      <c r="B4" s="54"/>
      <c r="C4" s="54"/>
      <c r="D4" s="54"/>
      <c r="E4" s="54"/>
      <c r="F4" s="53"/>
      <c r="G4" s="53"/>
      <c r="H4" s="53"/>
      <c r="I4" s="1652"/>
      <c r="J4" s="1652"/>
      <c r="K4" s="822" t="s">
        <v>90</v>
      </c>
      <c r="L4" s="823"/>
    </row>
    <row r="5" spans="1:14" ht="18" customHeight="1" x14ac:dyDescent="0.25">
      <c r="A5" s="1417" t="s">
        <v>2422</v>
      </c>
      <c r="B5" s="1418"/>
      <c r="C5" s="1418"/>
      <c r="D5" s="1418"/>
      <c r="E5" s="1418"/>
      <c r="F5" s="1418"/>
      <c r="G5" s="1418"/>
      <c r="H5" s="1418"/>
      <c r="I5" s="1418"/>
      <c r="J5" s="1418"/>
      <c r="K5" s="1418"/>
      <c r="L5" s="1419"/>
    </row>
    <row r="6" spans="1:14" ht="18" customHeight="1" x14ac:dyDescent="0.25">
      <c r="A6" s="1423"/>
      <c r="B6" s="1424"/>
      <c r="C6" s="1424"/>
      <c r="D6" s="1424"/>
      <c r="E6" s="1424"/>
      <c r="F6" s="1424"/>
      <c r="G6" s="1424"/>
      <c r="H6" s="1424"/>
      <c r="I6" s="1424"/>
      <c r="J6" s="1424"/>
      <c r="K6" s="1424"/>
      <c r="L6" s="1425"/>
      <c r="M6" s="53"/>
      <c r="N6" s="53"/>
    </row>
    <row r="7" spans="1:14" ht="9.75" customHeight="1" x14ac:dyDescent="0.25">
      <c r="A7" s="880"/>
      <c r="B7" s="880"/>
      <c r="C7" s="880"/>
      <c r="D7" s="880"/>
      <c r="E7" s="880"/>
      <c r="F7" s="880"/>
      <c r="G7" s="880"/>
      <c r="H7" s="880"/>
      <c r="I7" s="880"/>
      <c r="J7" s="880"/>
      <c r="K7" s="880"/>
      <c r="L7" s="53"/>
      <c r="M7" s="53"/>
      <c r="N7" s="53"/>
    </row>
    <row r="8" spans="1:14" ht="18" customHeight="1" x14ac:dyDescent="0.25">
      <c r="A8" s="1831" t="s">
        <v>626</v>
      </c>
      <c r="B8" s="1831"/>
      <c r="C8" s="1831"/>
      <c r="D8" s="1831"/>
      <c r="E8" s="1831"/>
      <c r="F8" s="1831"/>
      <c r="G8" s="1831"/>
      <c r="H8" s="1831"/>
      <c r="I8" s="1831"/>
      <c r="J8" s="1831"/>
      <c r="K8" s="1831"/>
      <c r="L8" s="1831"/>
    </row>
    <row r="9" spans="1:14" x14ac:dyDescent="0.25">
      <c r="A9" s="53"/>
      <c r="B9" s="54"/>
      <c r="C9" s="54"/>
      <c r="D9" s="54"/>
      <c r="E9" s="54"/>
      <c r="F9" s="53"/>
      <c r="G9" s="53"/>
      <c r="H9" s="53"/>
      <c r="I9" s="53"/>
      <c r="J9" s="53"/>
      <c r="K9" s="53"/>
      <c r="L9" s="53"/>
    </row>
    <row r="10" spans="1:14" ht="21" customHeight="1" x14ac:dyDescent="0.25">
      <c r="A10" s="53"/>
      <c r="B10" s="1859" t="s">
        <v>192</v>
      </c>
      <c r="C10" s="1860"/>
      <c r="D10" s="1860"/>
      <c r="E10" s="1860"/>
      <c r="F10" s="651" t="s">
        <v>157</v>
      </c>
      <c r="G10" s="651" t="s">
        <v>56</v>
      </c>
      <c r="H10" s="55" t="s">
        <v>521</v>
      </c>
      <c r="I10" s="53"/>
      <c r="J10" s="53"/>
      <c r="K10" s="53"/>
      <c r="L10" s="53"/>
    </row>
    <row r="11" spans="1:14" ht="67.5" customHeight="1" x14ac:dyDescent="0.25">
      <c r="A11" s="53"/>
      <c r="B11" s="1622" t="s">
        <v>1704</v>
      </c>
      <c r="C11" s="1623" t="s">
        <v>133</v>
      </c>
      <c r="D11" s="1623" t="s">
        <v>133</v>
      </c>
      <c r="E11" s="1624" t="s">
        <v>133</v>
      </c>
      <c r="F11" s="324">
        <v>1</v>
      </c>
      <c r="G11" s="324" t="str">
        <f>C43</f>
        <v/>
      </c>
      <c r="H11" s="324" t="str">
        <f>C44</f>
        <v/>
      </c>
      <c r="I11" s="53"/>
      <c r="J11" s="53"/>
      <c r="K11" s="53"/>
      <c r="L11" s="53"/>
    </row>
    <row r="12" spans="1:14" ht="27.75" customHeight="1" x14ac:dyDescent="0.25">
      <c r="A12" s="53"/>
      <c r="B12" s="1622" t="s">
        <v>724</v>
      </c>
      <c r="C12" s="1623" t="s">
        <v>134</v>
      </c>
      <c r="D12" s="1623" t="s">
        <v>134</v>
      </c>
      <c r="E12" s="1624" t="s">
        <v>134</v>
      </c>
      <c r="F12" s="324">
        <v>1</v>
      </c>
      <c r="G12" s="324">
        <f>C119</f>
        <v>0</v>
      </c>
      <c r="H12" s="324" t="str">
        <f>C120</f>
        <v>No</v>
      </c>
      <c r="I12" s="53"/>
      <c r="J12" s="53"/>
      <c r="K12" s="53"/>
      <c r="L12" s="53"/>
    </row>
    <row r="13" spans="1:14" ht="38.25" customHeight="1" x14ac:dyDescent="0.25">
      <c r="A13" s="53"/>
      <c r="B13" s="1622" t="s">
        <v>845</v>
      </c>
      <c r="C13" s="1623" t="s">
        <v>133</v>
      </c>
      <c r="D13" s="1623" t="s">
        <v>133</v>
      </c>
      <c r="E13" s="1624" t="s">
        <v>133</v>
      </c>
      <c r="F13" s="324">
        <v>1</v>
      </c>
      <c r="G13" s="324">
        <f>C156</f>
        <v>0</v>
      </c>
      <c r="H13" s="324" t="str">
        <f>C157</f>
        <v>No</v>
      </c>
      <c r="I13" s="53"/>
      <c r="J13" s="53"/>
      <c r="K13" s="53"/>
      <c r="L13" s="53"/>
    </row>
    <row r="14" spans="1:14" ht="21" customHeight="1" x14ac:dyDescent="0.25">
      <c r="A14" s="53"/>
      <c r="B14" s="1433" t="s">
        <v>82</v>
      </c>
      <c r="C14" s="1775"/>
      <c r="D14" s="1775"/>
      <c r="E14" s="1776"/>
      <c r="F14" s="702">
        <v>3</v>
      </c>
      <c r="G14" s="702">
        <f>MIN(3,SUM(G11:G13))</f>
        <v>0</v>
      </c>
      <c r="H14" s="702" t="str">
        <f>IF(AND(COUNTIF(H11:H13,"No")=0,COUNTIF(H11:H13,"Yes")&gt;0),"Yes","No")</f>
        <v>No</v>
      </c>
      <c r="I14" s="53"/>
      <c r="J14" s="53"/>
      <c r="K14" s="53"/>
      <c r="L14" s="53"/>
    </row>
    <row r="15" spans="1:14" x14ac:dyDescent="0.25">
      <c r="A15" s="53"/>
      <c r="B15" s="54"/>
      <c r="C15" s="54"/>
      <c r="D15" s="54"/>
      <c r="E15" s="54"/>
      <c r="F15" s="53"/>
      <c r="G15" s="53"/>
      <c r="H15" s="53"/>
      <c r="I15" s="53"/>
      <c r="J15" s="53"/>
      <c r="K15" s="53"/>
      <c r="L15" s="53"/>
    </row>
    <row r="16" spans="1:14" ht="18" customHeight="1" x14ac:dyDescent="0.25">
      <c r="A16" s="1831" t="s">
        <v>790</v>
      </c>
      <c r="B16" s="1831"/>
      <c r="C16" s="1831"/>
      <c r="D16" s="1831"/>
      <c r="E16" s="1831"/>
      <c r="F16" s="1831"/>
      <c r="G16" s="1831"/>
      <c r="H16" s="1831"/>
      <c r="I16" s="1831"/>
      <c r="J16" s="1831"/>
      <c r="K16" s="1831"/>
      <c r="L16" s="1831"/>
    </row>
    <row r="17" spans="1:13" x14ac:dyDescent="0.25">
      <c r="A17" s="53"/>
      <c r="B17" s="53"/>
      <c r="C17" s="53"/>
      <c r="D17" s="53"/>
      <c r="E17" s="54"/>
      <c r="F17" s="53"/>
      <c r="G17" s="53"/>
      <c r="H17" s="53"/>
      <c r="I17" s="53"/>
      <c r="J17" s="53"/>
      <c r="K17" s="53"/>
      <c r="L17" s="53"/>
    </row>
    <row r="18" spans="1:13" ht="18" customHeight="1" x14ac:dyDescent="0.25">
      <c r="A18" s="53"/>
      <c r="B18" s="1959" t="s">
        <v>258</v>
      </c>
      <c r="C18" s="1960"/>
      <c r="D18" s="1961" t="s">
        <v>129</v>
      </c>
      <c r="E18" s="1962"/>
      <c r="F18" s="1963"/>
      <c r="G18" s="53"/>
      <c r="H18" s="53"/>
      <c r="I18" s="53"/>
      <c r="J18" s="53"/>
      <c r="K18" s="53"/>
      <c r="L18" s="53"/>
    </row>
    <row r="19" spans="1:13" x14ac:dyDescent="0.25">
      <c r="A19" s="53"/>
      <c r="B19" s="53"/>
      <c r="C19" s="53"/>
      <c r="D19" s="53"/>
      <c r="E19" s="54"/>
      <c r="F19" s="53"/>
      <c r="G19" s="53"/>
      <c r="H19" s="53"/>
      <c r="I19" s="53"/>
      <c r="J19" s="53"/>
      <c r="K19" s="53"/>
      <c r="L19" s="53"/>
    </row>
    <row r="20" spans="1:13" ht="18" customHeight="1" x14ac:dyDescent="0.25">
      <c r="A20" s="1831" t="s">
        <v>1703</v>
      </c>
      <c r="B20" s="1831"/>
      <c r="C20" s="1831"/>
      <c r="D20" s="1831"/>
      <c r="E20" s="54"/>
      <c r="F20" s="54"/>
      <c r="G20" s="54"/>
      <c r="H20" s="54"/>
      <c r="I20" s="54"/>
      <c r="J20" s="54"/>
      <c r="K20" s="54"/>
      <c r="L20" s="54"/>
    </row>
    <row r="21" spans="1:13" x14ac:dyDescent="0.25">
      <c r="A21" s="53"/>
      <c r="B21" s="54"/>
      <c r="C21" s="54"/>
      <c r="D21" s="54"/>
      <c r="E21" s="54"/>
      <c r="F21" s="53"/>
      <c r="G21" s="53"/>
      <c r="H21" s="53"/>
      <c r="I21" s="53"/>
      <c r="J21" s="53"/>
      <c r="K21" s="53"/>
      <c r="L21" s="53"/>
    </row>
    <row r="22" spans="1:13" ht="16.5" customHeight="1" x14ac:dyDescent="0.25">
      <c r="A22" s="1877" t="s">
        <v>265</v>
      </c>
      <c r="B22" s="1877"/>
      <c r="C22" s="1877"/>
      <c r="D22" s="54"/>
      <c r="E22" s="54"/>
      <c r="F22" s="53"/>
      <c r="G22" s="53"/>
      <c r="H22" s="53"/>
      <c r="I22" s="53"/>
      <c r="J22" s="53"/>
      <c r="K22" s="53"/>
      <c r="L22" s="53"/>
    </row>
    <row r="23" spans="1:13" x14ac:dyDescent="0.25">
      <c r="A23" s="53"/>
      <c r="B23" s="54"/>
      <c r="C23" s="54"/>
      <c r="D23" s="54"/>
      <c r="E23" s="54"/>
      <c r="F23" s="53"/>
      <c r="G23" s="53"/>
      <c r="H23" s="53"/>
      <c r="I23" s="53"/>
      <c r="J23" s="53"/>
      <c r="K23" s="53"/>
      <c r="L23" s="53"/>
    </row>
    <row r="24" spans="1:13" x14ac:dyDescent="0.25">
      <c r="A24" s="53"/>
      <c r="B24" s="892" t="s">
        <v>804</v>
      </c>
      <c r="C24" s="54"/>
      <c r="D24" s="54"/>
      <c r="E24" s="54"/>
      <c r="F24" s="53"/>
      <c r="G24" s="53"/>
      <c r="H24" s="53"/>
      <c r="I24" s="53"/>
      <c r="J24" s="53"/>
      <c r="K24" s="53"/>
      <c r="L24" s="53"/>
    </row>
    <row r="25" spans="1:13" ht="17.25" customHeight="1" x14ac:dyDescent="0.25">
      <c r="A25" s="53"/>
      <c r="B25" s="54"/>
      <c r="C25" s="54"/>
      <c r="D25" s="54"/>
      <c r="E25" s="54"/>
      <c r="F25" s="53"/>
      <c r="G25" s="53"/>
      <c r="H25" s="53"/>
      <c r="I25" s="53"/>
      <c r="J25" s="53"/>
      <c r="K25" s="53"/>
      <c r="L25" s="53"/>
    </row>
    <row r="26" spans="1:13" x14ac:dyDescent="0.25">
      <c r="A26" s="53"/>
      <c r="B26" s="764" t="s">
        <v>1699</v>
      </c>
      <c r="C26" s="54"/>
      <c r="D26" s="54"/>
      <c r="E26" s="54"/>
      <c r="F26" s="53"/>
      <c r="G26" s="53"/>
      <c r="H26" s="53"/>
      <c r="I26" s="53"/>
      <c r="J26" s="53"/>
      <c r="K26" s="53"/>
      <c r="L26" s="53"/>
    </row>
    <row r="27" spans="1:13" ht="11.25" customHeight="1" x14ac:dyDescent="0.25">
      <c r="A27" s="53"/>
      <c r="B27" s="54"/>
      <c r="C27" s="54"/>
      <c r="D27" s="54"/>
      <c r="E27" s="54"/>
      <c r="F27" s="53"/>
      <c r="G27" s="53"/>
      <c r="H27" s="53"/>
      <c r="I27" s="53"/>
      <c r="J27" s="53"/>
      <c r="K27" s="53"/>
      <c r="L27" s="53"/>
    </row>
    <row r="28" spans="1:13" ht="18" customHeight="1" x14ac:dyDescent="0.25">
      <c r="A28" s="53"/>
      <c r="B28" s="1436" t="s">
        <v>1692</v>
      </c>
      <c r="C28" s="1437"/>
      <c r="D28" s="1438"/>
      <c r="E28" s="1191" t="s">
        <v>129</v>
      </c>
      <c r="F28" s="53"/>
      <c r="G28" s="53"/>
      <c r="H28" s="53"/>
      <c r="I28" s="53"/>
      <c r="J28" s="53"/>
      <c r="K28" s="53"/>
      <c r="L28" s="53"/>
      <c r="M28" s="87" t="b">
        <v>0</v>
      </c>
    </row>
    <row r="29" spans="1:13" ht="18" customHeight="1" x14ac:dyDescent="0.25">
      <c r="A29" s="53"/>
      <c r="B29" s="53" t="s">
        <v>1029</v>
      </c>
      <c r="C29" s="53"/>
      <c r="D29" s="53"/>
      <c r="E29" s="53"/>
      <c r="F29" s="53"/>
      <c r="G29" s="53"/>
      <c r="H29" s="53"/>
      <c r="I29" s="53"/>
      <c r="J29" s="53"/>
      <c r="K29" s="53"/>
      <c r="L29" s="53"/>
    </row>
    <row r="30" spans="1:13" ht="18" customHeight="1" x14ac:dyDescent="0.25">
      <c r="A30" s="53"/>
      <c r="B30" s="1523" t="s">
        <v>1701</v>
      </c>
      <c r="C30" s="1523"/>
      <c r="D30" s="1523"/>
      <c r="E30" s="1470"/>
      <c r="F30" s="1470"/>
      <c r="G30" s="53"/>
      <c r="H30" s="53"/>
      <c r="I30" s="53"/>
      <c r="J30" s="53"/>
      <c r="K30" s="53"/>
      <c r="L30" s="53"/>
    </row>
    <row r="31" spans="1:13" ht="15" customHeight="1" x14ac:dyDescent="0.25">
      <c r="A31" s="53"/>
      <c r="B31" s="1523" t="s">
        <v>1693</v>
      </c>
      <c r="C31" s="1523"/>
      <c r="D31" s="1523"/>
      <c r="E31" s="1470"/>
      <c r="F31" s="1470"/>
      <c r="G31" s="53"/>
      <c r="H31" s="53"/>
      <c r="I31" s="53"/>
      <c r="J31" s="53"/>
      <c r="K31" s="53"/>
      <c r="L31" s="53"/>
    </row>
    <row r="32" spans="1:13" ht="18" customHeight="1" x14ac:dyDescent="0.25">
      <c r="A32" s="53"/>
      <c r="B32" s="1523" t="s">
        <v>1694</v>
      </c>
      <c r="C32" s="1523"/>
      <c r="D32" s="1523"/>
      <c r="E32" s="1470"/>
      <c r="F32" s="1470"/>
      <c r="G32" s="53"/>
      <c r="H32" s="53"/>
      <c r="I32" s="53"/>
      <c r="J32" s="53"/>
      <c r="K32" s="53"/>
      <c r="L32" s="53"/>
    </row>
    <row r="33" spans="1:12" x14ac:dyDescent="0.25">
      <c r="A33" s="53"/>
      <c r="B33" s="54"/>
      <c r="C33" s="54"/>
      <c r="D33" s="54"/>
      <c r="E33" s="54"/>
      <c r="F33" s="53"/>
      <c r="G33" s="53"/>
      <c r="H33" s="53"/>
      <c r="I33" s="53"/>
      <c r="J33" s="53"/>
      <c r="K33" s="53"/>
      <c r="L33" s="53"/>
    </row>
    <row r="34" spans="1:12" ht="18" customHeight="1" x14ac:dyDescent="0.25">
      <c r="A34" s="53"/>
      <c r="B34" s="1830" t="s">
        <v>1702</v>
      </c>
      <c r="C34" s="1830"/>
      <c r="D34" s="86" t="str">
        <f>IF(E28="Yes",IF(AND(E30&lt;&gt;"",E31&lt;&gt;"",E32&lt;&gt;""),"Yes","No"),"No")</f>
        <v>No</v>
      </c>
      <c r="E34" s="53"/>
      <c r="F34" s="53"/>
      <c r="G34" s="53"/>
      <c r="H34" s="53"/>
      <c r="I34" s="53"/>
      <c r="J34" s="53"/>
      <c r="K34" s="53"/>
      <c r="L34" s="53"/>
    </row>
    <row r="35" spans="1:12" ht="16.5" customHeight="1" x14ac:dyDescent="0.25">
      <c r="A35" s="53"/>
      <c r="B35" s="54"/>
      <c r="C35" s="54"/>
      <c r="D35" s="54"/>
      <c r="E35" s="53"/>
      <c r="F35" s="53"/>
      <c r="G35" s="53"/>
      <c r="H35" s="53"/>
      <c r="I35" s="53"/>
      <c r="J35" s="53"/>
      <c r="K35" s="53"/>
      <c r="L35" s="53"/>
    </row>
    <row r="36" spans="1:12" ht="16.5" customHeight="1" x14ac:dyDescent="0.25">
      <c r="A36" s="1877" t="s">
        <v>200</v>
      </c>
      <c r="B36" s="1877"/>
      <c r="C36" s="1877"/>
      <c r="D36" s="54"/>
      <c r="E36" s="54"/>
      <c r="F36" s="54"/>
      <c r="G36" s="54"/>
      <c r="H36" s="54"/>
      <c r="I36" s="54"/>
      <c r="J36" s="54"/>
      <c r="K36" s="54"/>
      <c r="L36" s="53"/>
    </row>
    <row r="37" spans="1:12" x14ac:dyDescent="0.25">
      <c r="A37" s="53"/>
      <c r="B37" s="54"/>
      <c r="C37" s="54"/>
      <c r="D37" s="54"/>
      <c r="E37" s="53"/>
      <c r="F37" s="53"/>
      <c r="G37" s="53"/>
      <c r="H37" s="53"/>
      <c r="I37" s="53"/>
      <c r="J37" s="53"/>
      <c r="K37" s="53"/>
      <c r="L37" s="53"/>
    </row>
    <row r="38" spans="1:12" ht="18" customHeight="1" x14ac:dyDescent="0.25">
      <c r="A38" s="53"/>
      <c r="B38" s="1856" t="s">
        <v>2103</v>
      </c>
      <c r="C38" s="1857"/>
      <c r="D38" s="1857"/>
      <c r="E38" s="1857"/>
      <c r="F38" s="1857"/>
      <c r="G38" s="1192" t="s">
        <v>2101</v>
      </c>
      <c r="H38" s="1834" t="s">
        <v>2102</v>
      </c>
      <c r="I38" s="1835"/>
      <c r="J38" s="53"/>
      <c r="K38" s="53"/>
      <c r="L38" s="53"/>
    </row>
    <row r="39" spans="1:12" ht="23.25" customHeight="1" x14ac:dyDescent="0.25">
      <c r="A39" s="53"/>
      <c r="B39" s="1899" t="s">
        <v>1866</v>
      </c>
      <c r="C39" s="1900"/>
      <c r="D39" s="1900"/>
      <c r="E39" s="1900"/>
      <c r="F39" s="1912"/>
      <c r="G39" s="633" t="s">
        <v>129</v>
      </c>
      <c r="H39" s="1730"/>
      <c r="I39" s="1729"/>
      <c r="J39" s="53"/>
      <c r="K39" s="53"/>
      <c r="L39" s="53"/>
    </row>
    <row r="40" spans="1:12" ht="16.5" customHeight="1" x14ac:dyDescent="0.25">
      <c r="A40" s="53"/>
      <c r="B40" s="54"/>
      <c r="C40" s="54"/>
      <c r="D40" s="54"/>
      <c r="E40" s="53"/>
      <c r="F40" s="53"/>
      <c r="G40" s="53"/>
      <c r="H40" s="53"/>
      <c r="I40" s="53"/>
      <c r="J40" s="53"/>
      <c r="K40" s="53"/>
      <c r="L40" s="53"/>
    </row>
    <row r="41" spans="1:12" ht="16.5" customHeight="1" x14ac:dyDescent="0.25">
      <c r="A41" s="1877" t="s">
        <v>25</v>
      </c>
      <c r="B41" s="1877"/>
      <c r="C41" s="1877"/>
      <c r="D41" s="54"/>
      <c r="E41" s="53"/>
      <c r="F41" s="53"/>
      <c r="G41" s="53"/>
      <c r="H41" s="53"/>
      <c r="I41" s="53"/>
      <c r="J41" s="53"/>
      <c r="K41" s="53"/>
      <c r="L41" s="53"/>
    </row>
    <row r="42" spans="1:12" ht="16.5" customHeight="1" x14ac:dyDescent="0.25">
      <c r="A42" s="53"/>
      <c r="B42" s="54"/>
      <c r="C42" s="54"/>
      <c r="D42" s="54"/>
      <c r="E42" s="53"/>
      <c r="F42" s="53"/>
      <c r="G42" s="53"/>
      <c r="H42" s="53"/>
      <c r="I42" s="53"/>
      <c r="J42" s="53"/>
      <c r="K42" s="53"/>
      <c r="L42" s="53"/>
    </row>
    <row r="43" spans="1:12" ht="16.5" customHeight="1" x14ac:dyDescent="0.25">
      <c r="A43" s="53"/>
      <c r="B43" s="271" t="s">
        <v>56</v>
      </c>
      <c r="C43" s="1193" t="str">
        <f>IF(D18="Option A: CO2 monitoring",IF(D34="Yes",1,0),"")</f>
        <v/>
      </c>
      <c r="D43" s="54"/>
      <c r="E43" s="53"/>
      <c r="F43" s="53"/>
      <c r="G43" s="53"/>
      <c r="H43" s="53"/>
      <c r="I43" s="53"/>
      <c r="J43" s="53"/>
      <c r="K43" s="53"/>
      <c r="L43" s="53"/>
    </row>
    <row r="44" spans="1:12" ht="16.5" customHeight="1" x14ac:dyDescent="0.25">
      <c r="A44" s="53"/>
      <c r="B44" s="272" t="s">
        <v>521</v>
      </c>
      <c r="C44" s="1193" t="str">
        <f>IF(D18="Option A: CO2 monitoring",IF(AND(COUNTIF(G39:G39,"Submitted")=1,C43&gt;0),"Yes","No"),"")</f>
        <v/>
      </c>
      <c r="D44" s="54"/>
      <c r="E44" s="53"/>
      <c r="F44" s="53"/>
      <c r="G44" s="53"/>
      <c r="H44" s="53"/>
      <c r="I44" s="53"/>
      <c r="J44" s="53"/>
      <c r="K44" s="53"/>
      <c r="L44" s="53"/>
    </row>
    <row r="45" spans="1:12" ht="18.75" customHeight="1" x14ac:dyDescent="0.25">
      <c r="A45" s="53"/>
      <c r="B45" s="53"/>
      <c r="C45" s="53"/>
      <c r="D45" s="53"/>
      <c r="E45" s="53"/>
      <c r="F45" s="53"/>
      <c r="G45" s="53"/>
      <c r="H45" s="53"/>
      <c r="I45" s="53"/>
      <c r="J45" s="53"/>
      <c r="K45" s="53"/>
      <c r="L45" s="53"/>
    </row>
    <row r="46" spans="1:12" ht="18" customHeight="1" x14ac:dyDescent="0.25">
      <c r="A46" s="274" t="s">
        <v>805</v>
      </c>
      <c r="B46" s="47"/>
      <c r="C46" s="56"/>
      <c r="D46" s="47"/>
      <c r="E46" s="54"/>
      <c r="F46" s="54"/>
      <c r="G46" s="54"/>
      <c r="H46" s="54"/>
      <c r="I46" s="54"/>
      <c r="J46" s="54"/>
      <c r="K46" s="54"/>
      <c r="L46" s="54"/>
    </row>
    <row r="47" spans="1:12" x14ac:dyDescent="0.25">
      <c r="A47" s="53"/>
      <c r="B47" s="54"/>
      <c r="C47" s="54"/>
      <c r="D47" s="54"/>
      <c r="E47" s="54"/>
      <c r="F47" s="53"/>
      <c r="G47" s="53"/>
      <c r="H47" s="53"/>
      <c r="I47" s="53"/>
      <c r="J47" s="53"/>
      <c r="K47" s="53"/>
      <c r="L47" s="53"/>
    </row>
    <row r="48" spans="1:12" ht="16.5" customHeight="1" x14ac:dyDescent="0.25">
      <c r="A48" s="1877" t="s">
        <v>265</v>
      </c>
      <c r="B48" s="1877"/>
      <c r="C48" s="1877"/>
      <c r="D48" s="54"/>
      <c r="E48" s="54"/>
      <c r="F48" s="53"/>
      <c r="G48" s="53"/>
      <c r="H48" s="53"/>
      <c r="I48" s="53"/>
      <c r="J48" s="53"/>
      <c r="K48" s="53"/>
      <c r="L48" s="53"/>
    </row>
    <row r="49" spans="1:14" x14ac:dyDescent="0.25">
      <c r="A49" s="53"/>
      <c r="B49" s="54"/>
      <c r="C49" s="54"/>
      <c r="D49" s="54"/>
      <c r="E49" s="54"/>
      <c r="F49" s="53"/>
      <c r="G49" s="53"/>
      <c r="H49" s="53"/>
      <c r="I49" s="53"/>
      <c r="J49" s="53"/>
      <c r="K49" s="53"/>
      <c r="L49" s="53"/>
    </row>
    <row r="50" spans="1:14" x14ac:dyDescent="0.25">
      <c r="A50" s="53"/>
      <c r="B50" s="892" t="s">
        <v>1697</v>
      </c>
      <c r="C50" s="54"/>
      <c r="D50" s="54"/>
      <c r="E50" s="54"/>
      <c r="F50" s="53"/>
      <c r="G50" s="53"/>
      <c r="H50" s="53"/>
      <c r="I50" s="53"/>
      <c r="J50" s="53"/>
      <c r="K50" s="53"/>
      <c r="L50" s="53"/>
    </row>
    <row r="51" spans="1:14" ht="12.75" customHeight="1" x14ac:dyDescent="0.25">
      <c r="A51" s="53"/>
      <c r="B51" s="54"/>
      <c r="C51" s="54"/>
      <c r="D51" s="54"/>
      <c r="E51" s="54"/>
      <c r="F51" s="53"/>
      <c r="G51" s="53"/>
      <c r="H51" s="53"/>
      <c r="I51" s="53"/>
      <c r="J51" s="53"/>
      <c r="K51" s="53"/>
      <c r="L51" s="53"/>
    </row>
    <row r="52" spans="1:14" x14ac:dyDescent="0.25">
      <c r="A52" s="53"/>
      <c r="B52" s="634" t="s">
        <v>1067</v>
      </c>
      <c r="C52" s="54"/>
      <c r="D52" s="54"/>
      <c r="E52" s="54"/>
      <c r="F52" s="53"/>
      <c r="G52" s="53"/>
      <c r="H52" s="53"/>
      <c r="I52" s="53"/>
      <c r="J52" s="53"/>
      <c r="K52" s="53"/>
      <c r="L52" s="53"/>
    </row>
    <row r="53" spans="1:14" x14ac:dyDescent="0.25">
      <c r="A53" s="53"/>
      <c r="B53" s="897" t="s">
        <v>1068</v>
      </c>
      <c r="C53" s="54"/>
      <c r="D53" s="54"/>
      <c r="E53" s="54"/>
      <c r="F53" s="53"/>
      <c r="G53" s="53"/>
      <c r="H53" s="53"/>
      <c r="I53" s="53"/>
      <c r="J53" s="53"/>
      <c r="K53" s="53"/>
      <c r="L53" s="53"/>
    </row>
    <row r="54" spans="1:14" x14ac:dyDescent="0.25">
      <c r="A54" s="53"/>
      <c r="B54" s="897" t="s">
        <v>1069</v>
      </c>
      <c r="C54" s="54"/>
      <c r="D54" s="54"/>
      <c r="E54" s="54"/>
      <c r="F54" s="53"/>
      <c r="G54" s="53"/>
      <c r="H54" s="53"/>
      <c r="I54" s="53"/>
      <c r="J54" s="53"/>
      <c r="K54" s="53"/>
      <c r="L54" s="53"/>
    </row>
    <row r="55" spans="1:14" x14ac:dyDescent="0.25">
      <c r="A55" s="53"/>
      <c r="B55" s="897" t="s">
        <v>1070</v>
      </c>
      <c r="C55" s="54"/>
      <c r="D55" s="54"/>
      <c r="E55" s="54"/>
      <c r="F55" s="53"/>
      <c r="G55" s="53"/>
      <c r="H55" s="53"/>
      <c r="I55" s="53"/>
      <c r="J55" s="53"/>
      <c r="K55" s="53"/>
      <c r="L55" s="53"/>
    </row>
    <row r="56" spans="1:14" ht="13.5" customHeight="1" x14ac:dyDescent="0.25">
      <c r="A56" s="53"/>
      <c r="B56" s="54"/>
      <c r="C56" s="54"/>
      <c r="D56" s="54"/>
      <c r="E56" s="54"/>
      <c r="F56" s="53"/>
      <c r="G56" s="53"/>
      <c r="H56" s="53"/>
      <c r="I56" s="53"/>
      <c r="J56" s="53"/>
      <c r="K56" s="53"/>
      <c r="L56" s="53"/>
    </row>
    <row r="57" spans="1:14" x14ac:dyDescent="0.25">
      <c r="A57" s="53"/>
      <c r="B57" s="764" t="s">
        <v>1699</v>
      </c>
      <c r="C57" s="54"/>
      <c r="D57" s="54"/>
      <c r="E57" s="54"/>
      <c r="F57" s="53"/>
      <c r="G57" s="53"/>
      <c r="H57" s="53"/>
      <c r="I57" s="53"/>
      <c r="J57" s="53"/>
      <c r="K57" s="53"/>
      <c r="L57" s="53"/>
    </row>
    <row r="58" spans="1:14" ht="9" customHeight="1" x14ac:dyDescent="0.25">
      <c r="A58" s="53"/>
      <c r="B58" s="54"/>
      <c r="C58" s="54"/>
      <c r="D58" s="54"/>
      <c r="E58" s="54"/>
      <c r="F58" s="53"/>
      <c r="G58" s="53"/>
      <c r="H58" s="53"/>
      <c r="I58" s="53"/>
      <c r="J58" s="53"/>
      <c r="K58" s="53"/>
      <c r="L58" s="53"/>
    </row>
    <row r="59" spans="1:14" ht="18" customHeight="1" x14ac:dyDescent="0.25">
      <c r="A59" s="53"/>
      <c r="B59" s="1523" t="s">
        <v>1695</v>
      </c>
      <c r="C59" s="1523"/>
      <c r="D59" s="1523"/>
      <c r="E59" s="1523"/>
      <c r="F59" s="1191" t="s">
        <v>129</v>
      </c>
      <c r="G59" s="53"/>
      <c r="H59" s="53"/>
      <c r="I59" s="53"/>
      <c r="J59" s="53"/>
      <c r="K59" s="53"/>
      <c r="L59" s="53"/>
      <c r="M59" s="87" t="b">
        <v>0</v>
      </c>
      <c r="N59" s="87" t="b">
        <v>0</v>
      </c>
    </row>
    <row r="60" spans="1:14" ht="18" customHeight="1" x14ac:dyDescent="0.25">
      <c r="A60" s="53"/>
      <c r="B60" s="1523" t="s">
        <v>1696</v>
      </c>
      <c r="C60" s="1523"/>
      <c r="D60" s="1523"/>
      <c r="E60" s="1523"/>
      <c r="F60" s="1191" t="s">
        <v>129</v>
      </c>
      <c r="G60" s="53"/>
      <c r="H60" s="53"/>
      <c r="I60" s="53"/>
      <c r="J60" s="53"/>
      <c r="K60" s="53"/>
      <c r="L60" s="53"/>
      <c r="M60" s="87" t="b">
        <v>0</v>
      </c>
      <c r="N60" s="87"/>
    </row>
    <row r="61" spans="1:14" ht="18" customHeight="1" x14ac:dyDescent="0.25">
      <c r="A61" s="53"/>
      <c r="B61" s="1523" t="s">
        <v>1698</v>
      </c>
      <c r="C61" s="1523"/>
      <c r="D61" s="1523"/>
      <c r="E61" s="1523"/>
      <c r="F61" s="1191" t="s">
        <v>129</v>
      </c>
      <c r="G61" s="1436" t="s">
        <v>2423</v>
      </c>
      <c r="H61" s="1438"/>
      <c r="I61" s="1191" t="s">
        <v>129</v>
      </c>
      <c r="J61" s="53"/>
      <c r="K61" s="53"/>
      <c r="L61" s="53"/>
      <c r="M61" s="87" t="b">
        <v>0</v>
      </c>
      <c r="N61" s="87" t="b">
        <v>0</v>
      </c>
    </row>
    <row r="62" spans="1:14" x14ac:dyDescent="0.25">
      <c r="A62" s="53"/>
      <c r="B62" s="54"/>
      <c r="C62" s="54"/>
      <c r="D62" s="54"/>
      <c r="E62" s="54"/>
      <c r="F62" s="53"/>
      <c r="G62" s="53"/>
      <c r="H62" s="53"/>
      <c r="I62" s="53"/>
      <c r="J62" s="53"/>
      <c r="K62" s="53"/>
      <c r="L62" s="53"/>
      <c r="M62" s="87" t="b">
        <v>1</v>
      </c>
      <c r="N62" s="87" t="b">
        <v>0</v>
      </c>
    </row>
    <row r="63" spans="1:14" ht="18" customHeight="1" x14ac:dyDescent="0.25">
      <c r="A63" s="53"/>
      <c r="B63" s="1830" t="s">
        <v>1071</v>
      </c>
      <c r="C63" s="1830"/>
      <c r="D63" s="1830"/>
      <c r="E63" s="86" t="str">
        <f>IF(AND(F59="No",F60="Yes"),IF(F61="Yes",IF(I61="Yes","Yes","No"),IF(F61="No","Yes","No")),"No")</f>
        <v>No</v>
      </c>
      <c r="F63" s="53"/>
      <c r="G63" s="53"/>
      <c r="H63" s="53"/>
      <c r="I63" s="53"/>
      <c r="J63" s="53"/>
      <c r="K63" s="53"/>
      <c r="L63" s="53"/>
    </row>
    <row r="64" spans="1:14" ht="16.5" customHeight="1" x14ac:dyDescent="0.25">
      <c r="A64" s="53"/>
      <c r="B64" s="54"/>
      <c r="C64" s="54"/>
      <c r="D64" s="54"/>
      <c r="E64" s="53"/>
      <c r="F64" s="53"/>
      <c r="G64" s="53"/>
      <c r="H64" s="53"/>
      <c r="I64" s="53"/>
      <c r="J64" s="53"/>
      <c r="K64" s="53"/>
      <c r="L64" s="53"/>
    </row>
    <row r="65" spans="1:12" ht="16.5" customHeight="1" x14ac:dyDescent="0.25">
      <c r="A65" s="1877" t="s">
        <v>200</v>
      </c>
      <c r="B65" s="1877"/>
      <c r="C65" s="1877"/>
      <c r="D65" s="54"/>
      <c r="E65" s="54"/>
      <c r="F65" s="54"/>
      <c r="G65" s="54"/>
      <c r="H65" s="54"/>
      <c r="I65" s="54"/>
      <c r="J65" s="54"/>
      <c r="K65" s="54"/>
      <c r="L65" s="53"/>
    </row>
    <row r="66" spans="1:12" x14ac:dyDescent="0.25">
      <c r="A66" s="53"/>
      <c r="B66" s="54"/>
      <c r="C66" s="54"/>
      <c r="D66" s="54"/>
      <c r="E66" s="53"/>
      <c r="F66" s="53"/>
      <c r="G66" s="53"/>
      <c r="H66" s="53"/>
      <c r="I66" s="53"/>
      <c r="J66" s="53"/>
      <c r="K66" s="53"/>
      <c r="L66" s="53"/>
    </row>
    <row r="67" spans="1:12" ht="18" customHeight="1" x14ac:dyDescent="0.25">
      <c r="A67" s="53"/>
      <c r="B67" s="1856" t="s">
        <v>2103</v>
      </c>
      <c r="C67" s="1857"/>
      <c r="D67" s="1857"/>
      <c r="E67" s="1857"/>
      <c r="F67" s="1857"/>
      <c r="G67" s="444" t="s">
        <v>2101</v>
      </c>
      <c r="H67" s="1834" t="s">
        <v>2102</v>
      </c>
      <c r="I67" s="1835"/>
      <c r="J67" s="53"/>
      <c r="K67" s="53"/>
      <c r="L67" s="53"/>
    </row>
    <row r="68" spans="1:12" ht="27" customHeight="1" x14ac:dyDescent="0.25">
      <c r="A68" s="53"/>
      <c r="B68" s="1899" t="s">
        <v>1700</v>
      </c>
      <c r="C68" s="1900"/>
      <c r="D68" s="1900"/>
      <c r="E68" s="1900"/>
      <c r="F68" s="1912"/>
      <c r="G68" s="518" t="s">
        <v>129</v>
      </c>
      <c r="H68" s="1730"/>
      <c r="I68" s="1729"/>
      <c r="J68" s="53"/>
      <c r="K68" s="53"/>
      <c r="L68" s="53"/>
    </row>
    <row r="69" spans="1:12" ht="16.5" customHeight="1" x14ac:dyDescent="0.25">
      <c r="A69" s="53"/>
      <c r="B69" s="54"/>
      <c r="C69" s="54"/>
      <c r="D69" s="54"/>
      <c r="E69" s="53"/>
      <c r="F69" s="53"/>
      <c r="G69" s="53"/>
      <c r="H69" s="53"/>
      <c r="I69" s="53"/>
      <c r="J69" s="53"/>
      <c r="K69" s="53"/>
      <c r="L69" s="53"/>
    </row>
    <row r="70" spans="1:12" ht="16.5" customHeight="1" x14ac:dyDescent="0.25">
      <c r="A70" s="1877" t="s">
        <v>25</v>
      </c>
      <c r="B70" s="1877"/>
      <c r="C70" s="1877"/>
      <c r="D70" s="54"/>
      <c r="E70" s="53"/>
      <c r="F70" s="53"/>
      <c r="G70" s="53"/>
      <c r="H70" s="53"/>
      <c r="I70" s="53"/>
      <c r="J70" s="53"/>
      <c r="K70" s="53"/>
      <c r="L70" s="53"/>
    </row>
    <row r="71" spans="1:12" ht="16.5" customHeight="1" x14ac:dyDescent="0.25">
      <c r="A71" s="53"/>
      <c r="B71" s="54"/>
      <c r="C71" s="54"/>
      <c r="D71" s="54"/>
      <c r="E71" s="53"/>
      <c r="F71" s="53"/>
      <c r="G71" s="53"/>
      <c r="H71" s="53"/>
      <c r="I71" s="53"/>
      <c r="J71" s="53"/>
      <c r="K71" s="53"/>
      <c r="L71" s="53"/>
    </row>
    <row r="72" spans="1:12" ht="18" customHeight="1" x14ac:dyDescent="0.25">
      <c r="A72" s="53"/>
      <c r="B72" s="271" t="s">
        <v>56</v>
      </c>
      <c r="C72" s="1193" t="str">
        <f>IF(D18="Option B: Basic Combustion Venting Measures",IF(E63="Yes",1,0),"")</f>
        <v/>
      </c>
      <c r="D72" s="54"/>
      <c r="E72" s="53"/>
      <c r="F72" s="53"/>
      <c r="G72" s="53"/>
      <c r="H72" s="53"/>
      <c r="I72" s="53"/>
      <c r="J72" s="53"/>
      <c r="K72" s="53"/>
      <c r="L72" s="53"/>
    </row>
    <row r="73" spans="1:12" ht="18" customHeight="1" x14ac:dyDescent="0.25">
      <c r="A73" s="53"/>
      <c r="B73" s="272" t="s">
        <v>521</v>
      </c>
      <c r="C73" s="1193" t="str">
        <f>IF(D18="Option B: Basic Combustion Venting Measures",IF(AND(COUNTIF(G68:G68,"Submitted")=1,C72&gt;0),"Yes","No"),"")</f>
        <v/>
      </c>
      <c r="D73" s="54"/>
      <c r="E73" s="53"/>
      <c r="F73" s="53"/>
      <c r="G73" s="53"/>
      <c r="H73" s="53"/>
      <c r="I73" s="53"/>
      <c r="J73" s="53"/>
      <c r="K73" s="53"/>
      <c r="L73" s="53"/>
    </row>
    <row r="74" spans="1:12" ht="12" customHeight="1" x14ac:dyDescent="0.25">
      <c r="A74" s="53"/>
      <c r="B74" s="54"/>
      <c r="C74" s="54"/>
      <c r="D74" s="54"/>
      <c r="E74" s="53"/>
      <c r="F74" s="53"/>
      <c r="G74" s="53"/>
      <c r="H74" s="53"/>
      <c r="I74" s="53"/>
      <c r="J74" s="53"/>
      <c r="K74" s="53"/>
      <c r="L74" s="53"/>
    </row>
    <row r="75" spans="1:12" ht="12" customHeight="1" x14ac:dyDescent="0.25">
      <c r="A75" s="53"/>
      <c r="B75" s="54"/>
      <c r="C75" s="54"/>
      <c r="D75" s="54"/>
      <c r="E75" s="53"/>
      <c r="F75" s="53"/>
      <c r="G75" s="53"/>
      <c r="H75" s="53"/>
      <c r="I75" s="53"/>
      <c r="J75" s="53"/>
      <c r="K75" s="53"/>
      <c r="L75" s="53"/>
    </row>
    <row r="76" spans="1:12" ht="18" customHeight="1" x14ac:dyDescent="0.25">
      <c r="A76" s="1831" t="s">
        <v>791</v>
      </c>
      <c r="B76" s="1831"/>
      <c r="C76" s="1831"/>
      <c r="D76" s="1831"/>
      <c r="E76" s="1831"/>
      <c r="F76" s="1831"/>
      <c r="G76" s="1831"/>
      <c r="H76" s="1831"/>
      <c r="I76" s="1831"/>
      <c r="J76" s="1831"/>
      <c r="K76" s="1831"/>
      <c r="L76" s="1831"/>
    </row>
    <row r="77" spans="1:12" x14ac:dyDescent="0.25">
      <c r="A77" s="53"/>
      <c r="B77" s="54"/>
      <c r="C77" s="54"/>
      <c r="D77" s="54"/>
      <c r="E77" s="53"/>
      <c r="F77" s="53"/>
      <c r="G77" s="53"/>
      <c r="H77" s="53"/>
      <c r="I77" s="53"/>
      <c r="J77" s="53"/>
      <c r="K77" s="53"/>
      <c r="L77" s="53"/>
    </row>
    <row r="78" spans="1:12" ht="16.5" customHeight="1" x14ac:dyDescent="0.25">
      <c r="A78" s="1877" t="s">
        <v>265</v>
      </c>
      <c r="B78" s="1877"/>
      <c r="C78" s="1877"/>
      <c r="D78" s="54"/>
      <c r="E78" s="53"/>
      <c r="F78" s="53"/>
      <c r="G78" s="53"/>
      <c r="H78" s="53"/>
      <c r="I78" s="53"/>
      <c r="J78" s="53"/>
      <c r="K78" s="53"/>
      <c r="L78" s="53"/>
    </row>
    <row r="79" spans="1:12" x14ac:dyDescent="0.25">
      <c r="A79" s="54"/>
      <c r="B79" s="54"/>
      <c r="C79" s="54"/>
      <c r="D79" s="54"/>
      <c r="E79" s="53"/>
      <c r="F79" s="53"/>
      <c r="G79" s="53"/>
      <c r="H79" s="53"/>
      <c r="I79" s="53"/>
      <c r="J79" s="53"/>
      <c r="K79" s="53"/>
      <c r="L79" s="53"/>
    </row>
    <row r="80" spans="1:12" x14ac:dyDescent="0.25">
      <c r="A80" s="53"/>
      <c r="B80" s="634" t="s">
        <v>932</v>
      </c>
      <c r="C80" s="54"/>
      <c r="D80" s="54"/>
      <c r="E80" s="53"/>
      <c r="F80" s="53"/>
      <c r="G80" s="53"/>
      <c r="H80" s="53"/>
      <c r="I80" s="53"/>
      <c r="J80" s="53"/>
      <c r="K80" s="53"/>
      <c r="L80" s="53"/>
    </row>
    <row r="81" spans="1:12" ht="18" customHeight="1" x14ac:dyDescent="0.25">
      <c r="A81" s="53"/>
      <c r="B81" s="54"/>
      <c r="C81" s="54"/>
      <c r="D81" s="54"/>
      <c r="E81" s="53"/>
      <c r="F81" s="53"/>
      <c r="G81" s="53"/>
      <c r="H81" s="53"/>
      <c r="I81" s="53"/>
      <c r="J81" s="53"/>
      <c r="K81" s="53"/>
      <c r="L81" s="53"/>
    </row>
    <row r="82" spans="1:12" x14ac:dyDescent="0.25">
      <c r="A82" s="53"/>
      <c r="B82" s="892" t="s">
        <v>933</v>
      </c>
      <c r="C82" s="54"/>
      <c r="D82" s="54"/>
      <c r="E82" s="53"/>
      <c r="F82" s="53"/>
      <c r="G82" s="53"/>
      <c r="H82" s="53"/>
      <c r="I82" s="53"/>
      <c r="J82" s="53"/>
      <c r="K82" s="53"/>
      <c r="L82" s="53"/>
    </row>
    <row r="83" spans="1:12" ht="12" customHeight="1" x14ac:dyDescent="0.25">
      <c r="A83" s="53"/>
      <c r="B83" s="54"/>
      <c r="C83" s="54"/>
      <c r="D83" s="54"/>
      <c r="E83" s="53"/>
      <c r="F83" s="53"/>
      <c r="G83" s="53"/>
      <c r="H83" s="53"/>
      <c r="I83" s="53"/>
      <c r="J83" s="53"/>
      <c r="K83" s="53"/>
      <c r="L83" s="53"/>
    </row>
    <row r="84" spans="1:12" ht="27" customHeight="1" x14ac:dyDescent="0.25">
      <c r="A84" s="53"/>
      <c r="B84" s="515" t="s">
        <v>205</v>
      </c>
      <c r="C84" s="514" t="s">
        <v>934</v>
      </c>
      <c r="D84" s="54"/>
      <c r="E84" s="53"/>
      <c r="F84" s="53"/>
      <c r="G84" s="53"/>
      <c r="H84" s="53"/>
      <c r="I84" s="53"/>
      <c r="J84" s="53"/>
      <c r="K84" s="53"/>
      <c r="L84" s="53"/>
    </row>
    <row r="85" spans="1:12" ht="15" customHeight="1" x14ac:dyDescent="0.25">
      <c r="A85" s="53"/>
      <c r="B85" s="512" t="s">
        <v>935</v>
      </c>
      <c r="C85" s="513">
        <v>100</v>
      </c>
      <c r="D85" s="54"/>
      <c r="E85" s="53"/>
      <c r="F85" s="53"/>
      <c r="G85" s="53"/>
      <c r="H85" s="53"/>
      <c r="I85" s="53"/>
      <c r="J85" s="53"/>
      <c r="K85" s="53"/>
      <c r="L85" s="53"/>
    </row>
    <row r="86" spans="1:12" ht="15" customHeight="1" x14ac:dyDescent="0.25">
      <c r="A86" s="53"/>
      <c r="B86" s="512" t="s">
        <v>941</v>
      </c>
      <c r="C86" s="513">
        <v>500</v>
      </c>
      <c r="D86" s="54"/>
      <c r="E86" s="53"/>
      <c r="F86" s="53"/>
      <c r="G86" s="53"/>
      <c r="H86" s="53"/>
      <c r="I86" s="53"/>
      <c r="J86" s="53"/>
      <c r="K86" s="53"/>
      <c r="L86" s="53"/>
    </row>
    <row r="87" spans="1:12" ht="15" customHeight="1" x14ac:dyDescent="0.25">
      <c r="A87" s="53"/>
      <c r="B87" s="512" t="s">
        <v>940</v>
      </c>
      <c r="C87" s="513">
        <v>50</v>
      </c>
      <c r="D87" s="54"/>
      <c r="E87" s="53"/>
      <c r="F87" s="53"/>
      <c r="G87" s="53"/>
      <c r="H87" s="53"/>
      <c r="I87" s="53"/>
      <c r="J87" s="53"/>
      <c r="K87" s="53"/>
      <c r="L87" s="53"/>
    </row>
    <row r="88" spans="1:12" ht="15" customHeight="1" x14ac:dyDescent="0.25">
      <c r="A88" s="53"/>
      <c r="B88" s="512" t="s">
        <v>939</v>
      </c>
      <c r="C88" s="513">
        <v>50</v>
      </c>
      <c r="D88" s="54"/>
      <c r="E88" s="53"/>
      <c r="F88" s="53"/>
      <c r="G88" s="53"/>
      <c r="H88" s="53"/>
      <c r="I88" s="53"/>
      <c r="J88" s="53"/>
      <c r="K88" s="53"/>
      <c r="L88" s="53"/>
    </row>
    <row r="89" spans="1:12" ht="15" customHeight="1" x14ac:dyDescent="0.25">
      <c r="A89" s="53"/>
      <c r="B89" s="512" t="s">
        <v>936</v>
      </c>
      <c r="C89" s="513">
        <v>50</v>
      </c>
      <c r="D89" s="54"/>
      <c r="E89" s="53"/>
      <c r="F89" s="53"/>
      <c r="G89" s="53"/>
      <c r="H89" s="53"/>
      <c r="I89" s="53"/>
      <c r="J89" s="53"/>
      <c r="K89" s="53"/>
      <c r="L89" s="53"/>
    </row>
    <row r="90" spans="1:12" ht="15" customHeight="1" x14ac:dyDescent="0.25">
      <c r="A90" s="53"/>
      <c r="B90" s="512" t="s">
        <v>938</v>
      </c>
      <c r="C90" s="513">
        <v>400</v>
      </c>
      <c r="D90" s="54"/>
      <c r="E90" s="53"/>
      <c r="F90" s="53"/>
      <c r="G90" s="53"/>
      <c r="H90" s="53"/>
      <c r="I90" s="53"/>
      <c r="J90" s="53"/>
      <c r="K90" s="53"/>
      <c r="L90" s="53"/>
    </row>
    <row r="91" spans="1:12" ht="15" customHeight="1" x14ac:dyDescent="0.25">
      <c r="A91" s="53"/>
      <c r="B91" s="512" t="s">
        <v>937</v>
      </c>
      <c r="C91" s="513">
        <v>400</v>
      </c>
      <c r="D91" s="54"/>
      <c r="E91" s="53"/>
      <c r="F91" s="53"/>
      <c r="G91" s="53"/>
      <c r="H91" s="53"/>
      <c r="I91" s="53"/>
      <c r="J91" s="53"/>
      <c r="K91" s="53"/>
      <c r="L91" s="53"/>
    </row>
    <row r="92" spans="1:12" ht="18" customHeight="1" x14ac:dyDescent="0.25">
      <c r="A92" s="53"/>
      <c r="B92" s="54"/>
      <c r="C92" s="54"/>
      <c r="D92" s="54"/>
      <c r="E92" s="53"/>
      <c r="F92" s="53"/>
      <c r="G92" s="53"/>
      <c r="H92" s="53"/>
      <c r="I92" s="53"/>
      <c r="J92" s="53"/>
      <c r="K92" s="53"/>
      <c r="L92" s="53"/>
    </row>
    <row r="93" spans="1:12" ht="16.5" customHeight="1" x14ac:dyDescent="0.25">
      <c r="A93" s="1877" t="s">
        <v>26</v>
      </c>
      <c r="B93" s="1877"/>
      <c r="C93" s="1877"/>
      <c r="D93" s="54"/>
      <c r="E93" s="53"/>
      <c r="F93" s="53"/>
      <c r="G93" s="53"/>
      <c r="H93" s="53"/>
      <c r="I93" s="53"/>
      <c r="J93" s="53"/>
      <c r="K93" s="53"/>
      <c r="L93" s="53"/>
    </row>
    <row r="94" spans="1:12" ht="16.5" customHeight="1" x14ac:dyDescent="0.25">
      <c r="A94" s="53"/>
      <c r="B94" s="54"/>
      <c r="C94" s="54"/>
      <c r="D94" s="54"/>
      <c r="E94" s="54"/>
      <c r="F94" s="53"/>
      <c r="G94" s="53"/>
      <c r="H94" s="53"/>
      <c r="I94" s="53"/>
      <c r="J94" s="53"/>
      <c r="K94" s="53"/>
      <c r="L94" s="53"/>
    </row>
    <row r="95" spans="1:12" ht="16.5" customHeight="1" x14ac:dyDescent="0.25">
      <c r="A95" s="53"/>
      <c r="B95" s="764" t="s">
        <v>1690</v>
      </c>
      <c r="C95" s="54"/>
      <c r="D95" s="54"/>
      <c r="E95" s="54"/>
      <c r="F95" s="53"/>
      <c r="G95" s="53"/>
      <c r="H95" s="53"/>
      <c r="I95" s="53"/>
      <c r="J95" s="53"/>
      <c r="K95" s="53"/>
      <c r="L95" s="53"/>
    </row>
    <row r="96" spans="1:12" ht="9.75" customHeight="1" x14ac:dyDescent="0.25">
      <c r="A96" s="53"/>
      <c r="B96" s="54"/>
      <c r="C96" s="54"/>
      <c r="D96" s="54"/>
      <c r="E96" s="54"/>
      <c r="F96" s="53"/>
      <c r="G96" s="53"/>
      <c r="H96" s="53"/>
      <c r="I96" s="53"/>
      <c r="J96" s="53"/>
      <c r="K96" s="53"/>
      <c r="L96" s="53"/>
    </row>
    <row r="97" spans="1:13" ht="28.5" customHeight="1" x14ac:dyDescent="0.25">
      <c r="A97" s="53"/>
      <c r="B97" s="443" t="s">
        <v>948</v>
      </c>
      <c r="C97" s="444" t="s">
        <v>205</v>
      </c>
      <c r="D97" s="444" t="s">
        <v>43</v>
      </c>
      <c r="E97" s="444" t="s">
        <v>949</v>
      </c>
      <c r="F97" s="448" t="s">
        <v>950</v>
      </c>
      <c r="G97" s="448" t="s">
        <v>951</v>
      </c>
      <c r="H97" s="899" t="s">
        <v>182</v>
      </c>
      <c r="I97" s="53"/>
      <c r="J97" s="53"/>
      <c r="K97" s="53"/>
      <c r="L97" s="53"/>
      <c r="M97" s="53"/>
    </row>
    <row r="98" spans="1:13" ht="16.5" customHeight="1" x14ac:dyDescent="0.25">
      <c r="A98" s="53"/>
      <c r="B98" s="888"/>
      <c r="C98" s="888"/>
      <c r="D98" s="888"/>
      <c r="E98" s="891" t="str">
        <f>IFERROR(VLOOKUP(C98,$B$85:$C$91,2,FALSE)*D98,"")</f>
        <v/>
      </c>
      <c r="F98" s="418"/>
      <c r="G98" s="888"/>
      <c r="H98" s="898" t="str">
        <f>IFERROR(IF(E98="","",IF(G98&gt;=E98,"Yes","No")),"")</f>
        <v/>
      </c>
      <c r="I98" s="53"/>
      <c r="J98" s="53"/>
      <c r="K98" s="53"/>
      <c r="L98" s="53"/>
      <c r="M98" s="53"/>
    </row>
    <row r="99" spans="1:13" ht="16.5" customHeight="1" x14ac:dyDescent="0.25">
      <c r="A99" s="53"/>
      <c r="B99" s="888"/>
      <c r="C99" s="888"/>
      <c r="D99" s="888"/>
      <c r="E99" s="891" t="str">
        <f t="shared" ref="E99:E107" si="0">IFERROR(VLOOKUP(C99,$B$85:$C$91,2,FALSE)*D99,"")</f>
        <v/>
      </c>
      <c r="F99" s="418"/>
      <c r="G99" s="888"/>
      <c r="H99" s="898" t="str">
        <f>IFERROR(IF(E99="","",IF(G99&gt;=E99,"Yes","No")),"")</f>
        <v/>
      </c>
      <c r="I99" s="53"/>
      <c r="J99" s="53"/>
      <c r="K99" s="53"/>
      <c r="L99" s="53"/>
      <c r="M99" s="53"/>
    </row>
    <row r="100" spans="1:13" ht="16.5" customHeight="1" x14ac:dyDescent="0.25">
      <c r="A100" s="53"/>
      <c r="B100" s="888"/>
      <c r="C100" s="888"/>
      <c r="D100" s="888"/>
      <c r="E100" s="891" t="str">
        <f t="shared" si="0"/>
        <v/>
      </c>
      <c r="F100" s="418"/>
      <c r="G100" s="888"/>
      <c r="H100" s="898" t="str">
        <f t="shared" ref="H100:H107" si="1">IFERROR(IF(E100="","",IF(G100&gt;=E100,"Yes","No")),"")</f>
        <v/>
      </c>
      <c r="I100" s="53"/>
      <c r="J100" s="53"/>
      <c r="K100" s="53"/>
      <c r="L100" s="53"/>
    </row>
    <row r="101" spans="1:13" ht="16.5" customHeight="1" x14ac:dyDescent="0.25">
      <c r="A101" s="53"/>
      <c r="B101" s="888"/>
      <c r="C101" s="888"/>
      <c r="D101" s="888"/>
      <c r="E101" s="891" t="str">
        <f t="shared" si="0"/>
        <v/>
      </c>
      <c r="F101" s="418"/>
      <c r="G101" s="888"/>
      <c r="H101" s="898" t="str">
        <f t="shared" si="1"/>
        <v/>
      </c>
      <c r="I101" s="53"/>
      <c r="J101" s="53"/>
      <c r="K101" s="53"/>
      <c r="L101" s="53"/>
    </row>
    <row r="102" spans="1:13" ht="16.5" customHeight="1" x14ac:dyDescent="0.25">
      <c r="A102" s="53"/>
      <c r="B102" s="888"/>
      <c r="C102" s="888"/>
      <c r="D102" s="888"/>
      <c r="E102" s="891" t="str">
        <f t="shared" si="0"/>
        <v/>
      </c>
      <c r="F102" s="418"/>
      <c r="G102" s="888"/>
      <c r="H102" s="898" t="str">
        <f t="shared" si="1"/>
        <v/>
      </c>
      <c r="I102" s="53"/>
      <c r="J102" s="53"/>
      <c r="K102" s="53"/>
      <c r="L102" s="53"/>
    </row>
    <row r="103" spans="1:13" ht="16.5" customHeight="1" x14ac:dyDescent="0.25">
      <c r="A103" s="53"/>
      <c r="B103" s="888"/>
      <c r="C103" s="888"/>
      <c r="D103" s="888"/>
      <c r="E103" s="891" t="str">
        <f t="shared" si="0"/>
        <v/>
      </c>
      <c r="F103" s="418"/>
      <c r="G103" s="888"/>
      <c r="H103" s="898" t="str">
        <f t="shared" si="1"/>
        <v/>
      </c>
      <c r="I103" s="53"/>
      <c r="J103" s="53"/>
      <c r="K103" s="53"/>
      <c r="L103" s="53"/>
    </row>
    <row r="104" spans="1:13" ht="16.5" customHeight="1" x14ac:dyDescent="0.25">
      <c r="A104" s="53"/>
      <c r="B104" s="888"/>
      <c r="C104" s="888"/>
      <c r="D104" s="888"/>
      <c r="E104" s="891" t="str">
        <f t="shared" si="0"/>
        <v/>
      </c>
      <c r="F104" s="418"/>
      <c r="G104" s="888"/>
      <c r="H104" s="898" t="str">
        <f t="shared" si="1"/>
        <v/>
      </c>
      <c r="I104" s="53"/>
      <c r="J104" s="53"/>
      <c r="K104" s="53"/>
      <c r="L104" s="53"/>
    </row>
    <row r="105" spans="1:13" ht="16.5" customHeight="1" x14ac:dyDescent="0.25">
      <c r="A105" s="53"/>
      <c r="B105" s="888"/>
      <c r="C105" s="888"/>
      <c r="D105" s="888"/>
      <c r="E105" s="891" t="str">
        <f t="shared" si="0"/>
        <v/>
      </c>
      <c r="F105" s="418"/>
      <c r="G105" s="888"/>
      <c r="H105" s="898" t="str">
        <f t="shared" si="1"/>
        <v/>
      </c>
      <c r="I105" s="53"/>
      <c r="J105" s="53"/>
      <c r="K105" s="53"/>
      <c r="L105" s="53"/>
    </row>
    <row r="106" spans="1:13" ht="16.5" customHeight="1" x14ac:dyDescent="0.25">
      <c r="A106" s="53"/>
      <c r="B106" s="888"/>
      <c r="C106" s="888"/>
      <c r="D106" s="888"/>
      <c r="E106" s="891" t="str">
        <f t="shared" si="0"/>
        <v/>
      </c>
      <c r="F106" s="418"/>
      <c r="G106" s="888"/>
      <c r="H106" s="898" t="str">
        <f t="shared" si="1"/>
        <v/>
      </c>
      <c r="I106" s="53"/>
      <c r="J106" s="53"/>
      <c r="K106" s="53"/>
      <c r="L106" s="53"/>
    </row>
    <row r="107" spans="1:13" ht="16.5" customHeight="1" x14ac:dyDescent="0.25">
      <c r="A107" s="53"/>
      <c r="B107" s="888"/>
      <c r="C107" s="888"/>
      <c r="D107" s="888"/>
      <c r="E107" s="891" t="str">
        <f t="shared" si="0"/>
        <v/>
      </c>
      <c r="F107" s="418"/>
      <c r="G107" s="888"/>
      <c r="H107" s="898" t="str">
        <f t="shared" si="1"/>
        <v/>
      </c>
      <c r="I107" s="53"/>
      <c r="J107" s="53"/>
      <c r="K107" s="53"/>
      <c r="L107" s="53"/>
    </row>
    <row r="108" spans="1:13" ht="16.5" customHeight="1" x14ac:dyDescent="0.25">
      <c r="A108" s="53"/>
      <c r="B108" s="54"/>
      <c r="C108" s="54"/>
      <c r="D108" s="54"/>
      <c r="E108" s="54"/>
      <c r="F108" s="53"/>
      <c r="G108" s="53"/>
      <c r="H108" s="53"/>
      <c r="I108" s="53"/>
      <c r="J108" s="53"/>
      <c r="K108" s="53"/>
      <c r="L108" s="53"/>
    </row>
    <row r="109" spans="1:13" ht="18" customHeight="1" x14ac:dyDescent="0.25">
      <c r="A109" s="53"/>
      <c r="B109" s="1830" t="s">
        <v>1060</v>
      </c>
      <c r="C109" s="1830"/>
      <c r="D109" s="86" t="str">
        <f>IF(AND(COUNTIF(H98:H107,"No")=0,COUNTIF(H98:H107,"Yes")&gt;2),"Yes","No")</f>
        <v>No</v>
      </c>
      <c r="E109" s="53"/>
      <c r="F109" s="53"/>
      <c r="G109" s="53"/>
      <c r="H109" s="53"/>
      <c r="I109" s="53"/>
      <c r="J109" s="53"/>
      <c r="K109" s="53"/>
      <c r="L109" s="53"/>
    </row>
    <row r="110" spans="1:13" ht="18.75" customHeight="1" x14ac:dyDescent="0.25">
      <c r="A110" s="53"/>
      <c r="B110" s="54"/>
      <c r="C110" s="54"/>
      <c r="D110" s="54"/>
      <c r="E110" s="53"/>
      <c r="F110" s="53"/>
      <c r="G110" s="53"/>
      <c r="H110" s="53"/>
      <c r="I110" s="53"/>
      <c r="J110" s="53"/>
      <c r="K110" s="53"/>
      <c r="L110" s="53"/>
    </row>
    <row r="111" spans="1:13" x14ac:dyDescent="0.25">
      <c r="A111" s="1877" t="s">
        <v>200</v>
      </c>
      <c r="B111" s="1877"/>
      <c r="C111" s="1877"/>
      <c r="D111" s="54"/>
      <c r="E111" s="54"/>
      <c r="F111" s="54"/>
      <c r="G111" s="54"/>
      <c r="H111" s="54"/>
      <c r="I111" s="54"/>
      <c r="J111" s="54"/>
      <c r="K111" s="54"/>
      <c r="L111" s="53"/>
    </row>
    <row r="112" spans="1:13" x14ac:dyDescent="0.25">
      <c r="A112" s="53"/>
      <c r="B112" s="54"/>
      <c r="C112" s="54"/>
      <c r="D112" s="54"/>
      <c r="E112" s="53"/>
      <c r="F112" s="53"/>
      <c r="G112" s="53"/>
      <c r="H112" s="53"/>
      <c r="I112" s="53"/>
      <c r="J112" s="53"/>
      <c r="K112" s="53"/>
      <c r="L112" s="53"/>
    </row>
    <row r="113" spans="1:12" ht="18" customHeight="1" x14ac:dyDescent="0.25">
      <c r="A113" s="53"/>
      <c r="B113" s="1856" t="s">
        <v>2103</v>
      </c>
      <c r="C113" s="1857"/>
      <c r="D113" s="1857"/>
      <c r="E113" s="1857"/>
      <c r="F113" s="1857"/>
      <c r="G113" s="444" t="s">
        <v>2101</v>
      </c>
      <c r="H113" s="1834" t="s">
        <v>2102</v>
      </c>
      <c r="I113" s="1835"/>
      <c r="J113" s="53"/>
      <c r="K113" s="53"/>
      <c r="L113" s="53"/>
    </row>
    <row r="114" spans="1:12" ht="24" customHeight="1" x14ac:dyDescent="0.25">
      <c r="A114" s="53"/>
      <c r="B114" s="1436" t="s">
        <v>1271</v>
      </c>
      <c r="C114" s="1437"/>
      <c r="D114" s="1437"/>
      <c r="E114" s="1437"/>
      <c r="F114" s="1438"/>
      <c r="G114" s="633" t="s">
        <v>129</v>
      </c>
      <c r="H114" s="1730"/>
      <c r="I114" s="1729"/>
      <c r="J114" s="53"/>
      <c r="K114" s="53"/>
      <c r="L114" s="53"/>
    </row>
    <row r="115" spans="1:12" ht="24" customHeight="1" x14ac:dyDescent="0.25">
      <c r="A115" s="53"/>
      <c r="B115" s="1436" t="s">
        <v>1867</v>
      </c>
      <c r="C115" s="1437"/>
      <c r="D115" s="1437"/>
      <c r="E115" s="1437"/>
      <c r="F115" s="1438"/>
      <c r="G115" s="970" t="s">
        <v>129</v>
      </c>
      <c r="H115" s="1730"/>
      <c r="I115" s="1729"/>
      <c r="J115" s="53"/>
      <c r="K115" s="53"/>
      <c r="L115" s="53"/>
    </row>
    <row r="116" spans="1:12" ht="12" customHeight="1" x14ac:dyDescent="0.25">
      <c r="A116" s="53"/>
      <c r="B116" s="54"/>
      <c r="C116" s="54"/>
      <c r="D116" s="54"/>
      <c r="E116" s="53"/>
      <c r="F116" s="53"/>
      <c r="G116" s="53"/>
      <c r="H116" s="53"/>
      <c r="I116" s="53"/>
      <c r="J116" s="53"/>
      <c r="K116" s="53"/>
      <c r="L116" s="53"/>
    </row>
    <row r="117" spans="1:12" ht="16.5" customHeight="1" x14ac:dyDescent="0.25">
      <c r="A117" s="1877" t="s">
        <v>25</v>
      </c>
      <c r="B117" s="1877"/>
      <c r="C117" s="1877"/>
      <c r="D117" s="54"/>
      <c r="E117" s="53"/>
      <c r="F117" s="53"/>
      <c r="G117" s="53"/>
      <c r="H117" s="53"/>
      <c r="I117" s="53"/>
      <c r="J117" s="53"/>
      <c r="K117" s="53"/>
      <c r="L117" s="53"/>
    </row>
    <row r="118" spans="1:12" ht="16.5" customHeight="1" x14ac:dyDescent="0.25">
      <c r="A118" s="53"/>
      <c r="B118" s="54"/>
      <c r="C118" s="54"/>
      <c r="D118" s="54"/>
      <c r="E118" s="53"/>
      <c r="F118" s="53"/>
      <c r="G118" s="53"/>
      <c r="H118" s="53"/>
      <c r="I118" s="53"/>
      <c r="J118" s="53"/>
      <c r="K118" s="53"/>
      <c r="L118" s="53"/>
    </row>
    <row r="119" spans="1:12" ht="16.5" customHeight="1" x14ac:dyDescent="0.25">
      <c r="A119" s="53"/>
      <c r="B119" s="271" t="s">
        <v>56</v>
      </c>
      <c r="C119" s="1193">
        <f>IF(D109="Yes",1,0)</f>
        <v>0</v>
      </c>
      <c r="D119" s="54"/>
      <c r="E119" s="53"/>
      <c r="F119" s="53"/>
      <c r="G119" s="53"/>
      <c r="H119" s="53"/>
      <c r="I119" s="53"/>
      <c r="J119" s="53"/>
      <c r="K119" s="53"/>
      <c r="L119" s="53"/>
    </row>
    <row r="120" spans="1:12" ht="16.5" customHeight="1" x14ac:dyDescent="0.25">
      <c r="A120" s="53"/>
      <c r="B120" s="272" t="s">
        <v>521</v>
      </c>
      <c r="C120" s="1193" t="str">
        <f>IF(AND(COUNTIF(G114:G115,"Submitted")=2,C119&gt;0),"Yes","No")</f>
        <v>No</v>
      </c>
      <c r="D120" s="54"/>
      <c r="E120" s="53"/>
      <c r="F120" s="53"/>
      <c r="G120" s="53"/>
      <c r="H120" s="53"/>
      <c r="I120" s="53"/>
      <c r="J120" s="53"/>
      <c r="K120" s="53"/>
      <c r="L120" s="53"/>
    </row>
    <row r="121" spans="1:12" ht="18.75" customHeight="1" x14ac:dyDescent="0.25">
      <c r="A121" s="53"/>
      <c r="B121" s="54"/>
      <c r="C121" s="54"/>
      <c r="D121" s="54"/>
      <c r="E121" s="53"/>
      <c r="F121" s="53"/>
      <c r="G121" s="53"/>
      <c r="H121" s="53"/>
      <c r="I121" s="53"/>
      <c r="J121" s="53"/>
      <c r="K121" s="53"/>
      <c r="L121" s="53"/>
    </row>
    <row r="122" spans="1:12" ht="18" customHeight="1" x14ac:dyDescent="0.25">
      <c r="A122" s="1831" t="s">
        <v>792</v>
      </c>
      <c r="B122" s="1831"/>
      <c r="C122" s="1831"/>
      <c r="D122" s="1831"/>
      <c r="E122" s="1831"/>
      <c r="F122" s="1831"/>
      <c r="G122" s="1831"/>
      <c r="H122" s="1831"/>
      <c r="I122" s="1831"/>
      <c r="J122" s="1831"/>
      <c r="K122" s="1831"/>
      <c r="L122" s="1831"/>
    </row>
    <row r="123" spans="1:12" x14ac:dyDescent="0.25">
      <c r="A123" s="53"/>
      <c r="B123" s="54"/>
      <c r="C123" s="54"/>
      <c r="D123" s="54"/>
      <c r="E123" s="53"/>
      <c r="F123" s="53"/>
      <c r="G123" s="53"/>
      <c r="H123" s="53"/>
      <c r="I123" s="53"/>
      <c r="J123" s="53"/>
      <c r="K123" s="53"/>
      <c r="L123" s="53"/>
    </row>
    <row r="124" spans="1:12" x14ac:dyDescent="0.25">
      <c r="A124" s="1877" t="s">
        <v>265</v>
      </c>
      <c r="B124" s="1877"/>
      <c r="C124" s="1877"/>
      <c r="D124" s="54"/>
      <c r="E124" s="53"/>
      <c r="F124" s="53"/>
      <c r="G124" s="53"/>
      <c r="H124" s="53"/>
      <c r="I124" s="53"/>
      <c r="J124" s="53"/>
      <c r="K124" s="53"/>
      <c r="L124" s="53"/>
    </row>
    <row r="125" spans="1:12" x14ac:dyDescent="0.25">
      <c r="A125" s="53"/>
      <c r="B125" s="54"/>
      <c r="C125" s="54"/>
      <c r="D125" s="54"/>
      <c r="E125" s="53"/>
      <c r="F125" s="53"/>
      <c r="G125" s="53"/>
      <c r="H125" s="53"/>
      <c r="I125" s="53"/>
      <c r="J125" s="53"/>
      <c r="K125" s="53"/>
      <c r="L125" s="53"/>
    </row>
    <row r="126" spans="1:12" ht="15.75" customHeight="1" x14ac:dyDescent="0.25">
      <c r="A126" s="53"/>
      <c r="B126" s="892" t="s">
        <v>1061</v>
      </c>
      <c r="C126" s="54"/>
      <c r="D126" s="54"/>
      <c r="E126" s="53"/>
      <c r="F126" s="53"/>
      <c r="G126" s="53"/>
      <c r="H126" s="53"/>
      <c r="I126" s="53"/>
      <c r="J126" s="53"/>
      <c r="K126" s="53"/>
      <c r="L126" s="53"/>
    </row>
    <row r="127" spans="1:12" ht="15.75" customHeight="1" x14ac:dyDescent="0.25">
      <c r="A127" s="53"/>
      <c r="B127" s="54"/>
      <c r="C127" s="54"/>
      <c r="D127" s="54"/>
      <c r="E127" s="53"/>
      <c r="F127" s="53"/>
      <c r="G127" s="53"/>
      <c r="H127" s="53"/>
      <c r="I127" s="53"/>
      <c r="J127" s="53"/>
      <c r="K127" s="53"/>
      <c r="L127" s="53"/>
    </row>
    <row r="128" spans="1:12" ht="15" customHeight="1" x14ac:dyDescent="0.25">
      <c r="A128" s="53"/>
      <c r="B128" s="634" t="s">
        <v>1062</v>
      </c>
      <c r="C128" s="54"/>
      <c r="D128" s="54"/>
      <c r="E128" s="54"/>
      <c r="F128" s="53"/>
      <c r="G128" s="53"/>
      <c r="H128" s="53"/>
      <c r="I128" s="53"/>
      <c r="J128" s="53"/>
      <c r="K128" s="53"/>
      <c r="L128" s="53"/>
    </row>
    <row r="129" spans="1:12" ht="15" customHeight="1" x14ac:dyDescent="0.25">
      <c r="A129" s="53"/>
      <c r="B129" s="634" t="s">
        <v>1063</v>
      </c>
      <c r="C129" s="54"/>
      <c r="D129" s="54"/>
      <c r="E129" s="54"/>
      <c r="F129" s="53"/>
      <c r="G129" s="53"/>
      <c r="H129" s="53"/>
      <c r="I129" s="53"/>
      <c r="J129" s="53"/>
      <c r="K129" s="53"/>
      <c r="L129" s="53"/>
    </row>
    <row r="130" spans="1:12" ht="15" customHeight="1" x14ac:dyDescent="0.25">
      <c r="A130" s="53"/>
      <c r="B130" s="634" t="s">
        <v>1064</v>
      </c>
      <c r="C130" s="54"/>
      <c r="D130" s="54"/>
      <c r="E130" s="54"/>
      <c r="F130" s="53"/>
      <c r="G130" s="53"/>
      <c r="H130" s="53"/>
      <c r="I130" s="53"/>
      <c r="J130" s="53"/>
      <c r="K130" s="53"/>
      <c r="L130" s="53"/>
    </row>
    <row r="131" spans="1:12" ht="13.5" customHeight="1" x14ac:dyDescent="0.25">
      <c r="A131" s="53"/>
      <c r="B131" s="54"/>
      <c r="C131" s="54"/>
      <c r="D131" s="54"/>
      <c r="E131" s="54"/>
      <c r="F131" s="53"/>
      <c r="G131" s="53"/>
      <c r="H131" s="53"/>
      <c r="I131" s="53"/>
      <c r="J131" s="53"/>
      <c r="K131" s="53"/>
      <c r="L131" s="53"/>
    </row>
    <row r="132" spans="1:12" ht="16.5" customHeight="1" x14ac:dyDescent="0.25">
      <c r="A132" s="53"/>
      <c r="B132" s="647" t="s">
        <v>1691</v>
      </c>
      <c r="C132" s="54"/>
      <c r="D132" s="54"/>
      <c r="E132" s="54"/>
      <c r="F132" s="53"/>
      <c r="G132" s="53"/>
      <c r="H132" s="53"/>
      <c r="I132" s="53"/>
      <c r="J132" s="53"/>
      <c r="K132" s="53"/>
      <c r="L132" s="53"/>
    </row>
    <row r="133" spans="1:12" ht="12.75" customHeight="1" x14ac:dyDescent="0.25">
      <c r="A133" s="53"/>
      <c r="B133" s="54"/>
      <c r="C133" s="54"/>
      <c r="D133" s="54"/>
      <c r="E133" s="54"/>
      <c r="F133" s="53"/>
      <c r="G133" s="53"/>
      <c r="H133" s="53"/>
      <c r="I133" s="53"/>
      <c r="J133" s="53"/>
      <c r="K133" s="53"/>
      <c r="L133" s="53"/>
    </row>
    <row r="134" spans="1:12" ht="36" customHeight="1" x14ac:dyDescent="0.25">
      <c r="A134" s="53"/>
      <c r="B134" s="540" t="s">
        <v>948</v>
      </c>
      <c r="C134" s="541" t="s">
        <v>1065</v>
      </c>
      <c r="D134" s="541" t="s">
        <v>182</v>
      </c>
      <c r="E134" s="54"/>
      <c r="F134" s="53"/>
      <c r="G134" s="53"/>
      <c r="H134" s="53"/>
      <c r="I134" s="53"/>
      <c r="J134" s="53"/>
      <c r="K134" s="53"/>
      <c r="L134" s="53"/>
    </row>
    <row r="135" spans="1:12" ht="16.5" customHeight="1" x14ac:dyDescent="0.25">
      <c r="A135" s="53"/>
      <c r="B135" s="539"/>
      <c r="C135" s="539"/>
      <c r="D135" s="228" t="str">
        <f>IFERROR(IF(C135="","",IF(C135&lt;=0.6,"Yes","No")),"")</f>
        <v/>
      </c>
      <c r="E135" s="54"/>
      <c r="F135" s="53"/>
      <c r="G135" s="53"/>
      <c r="H135" s="53"/>
      <c r="I135" s="53"/>
      <c r="J135" s="53"/>
      <c r="K135" s="53"/>
      <c r="L135" s="53"/>
    </row>
    <row r="136" spans="1:12" ht="16.5" customHeight="1" x14ac:dyDescent="0.25">
      <c r="A136" s="53"/>
      <c r="B136" s="539"/>
      <c r="C136" s="539"/>
      <c r="D136" s="228" t="str">
        <f t="shared" ref="D136:D144" si="2">IFERROR(IF(C136="","",IF(C136&lt;=0.6,"Yes","No")),"")</f>
        <v/>
      </c>
      <c r="E136" s="54"/>
      <c r="F136" s="53"/>
      <c r="G136" s="53"/>
      <c r="H136" s="53"/>
      <c r="I136" s="53"/>
      <c r="J136" s="53"/>
      <c r="K136" s="53"/>
      <c r="L136" s="53"/>
    </row>
    <row r="137" spans="1:12" ht="16.5" customHeight="1" x14ac:dyDescent="0.25">
      <c r="A137" s="53"/>
      <c r="B137" s="539"/>
      <c r="C137" s="539"/>
      <c r="D137" s="228" t="str">
        <f t="shared" si="2"/>
        <v/>
      </c>
      <c r="E137" s="54"/>
      <c r="F137" s="53"/>
      <c r="G137" s="53"/>
      <c r="H137" s="53"/>
      <c r="I137" s="53"/>
      <c r="J137" s="53"/>
      <c r="K137" s="53"/>
      <c r="L137" s="53"/>
    </row>
    <row r="138" spans="1:12" ht="16.5" customHeight="1" x14ac:dyDescent="0.25">
      <c r="A138" s="53"/>
      <c r="B138" s="539"/>
      <c r="C138" s="539"/>
      <c r="D138" s="228" t="str">
        <f t="shared" si="2"/>
        <v/>
      </c>
      <c r="E138" s="54"/>
      <c r="F138" s="53"/>
      <c r="G138" s="53"/>
      <c r="H138" s="53"/>
      <c r="I138" s="53"/>
      <c r="J138" s="53"/>
      <c r="K138" s="53"/>
      <c r="L138" s="53"/>
    </row>
    <row r="139" spans="1:12" ht="16.5" customHeight="1" x14ac:dyDescent="0.25">
      <c r="A139" s="53"/>
      <c r="B139" s="539"/>
      <c r="C139" s="539"/>
      <c r="D139" s="228" t="str">
        <f t="shared" si="2"/>
        <v/>
      </c>
      <c r="E139" s="54"/>
      <c r="F139" s="53"/>
      <c r="G139" s="53"/>
      <c r="H139" s="53"/>
      <c r="I139" s="53"/>
      <c r="J139" s="53"/>
      <c r="K139" s="53"/>
      <c r="L139" s="53"/>
    </row>
    <row r="140" spans="1:12" ht="16.5" customHeight="1" x14ac:dyDescent="0.25">
      <c r="A140" s="53"/>
      <c r="B140" s="539"/>
      <c r="C140" s="539"/>
      <c r="D140" s="228" t="str">
        <f t="shared" si="2"/>
        <v/>
      </c>
      <c r="E140" s="54"/>
      <c r="F140" s="53"/>
      <c r="G140" s="53"/>
      <c r="H140" s="53"/>
      <c r="I140" s="53"/>
      <c r="J140" s="53"/>
      <c r="K140" s="53"/>
      <c r="L140" s="53"/>
    </row>
    <row r="141" spans="1:12" ht="16.5" customHeight="1" x14ac:dyDescent="0.25">
      <c r="A141" s="53"/>
      <c r="B141" s="539"/>
      <c r="C141" s="539"/>
      <c r="D141" s="228" t="str">
        <f t="shared" si="2"/>
        <v/>
      </c>
      <c r="E141" s="54"/>
      <c r="F141" s="53"/>
      <c r="G141" s="53"/>
      <c r="H141" s="53"/>
      <c r="I141" s="53"/>
      <c r="J141" s="53"/>
      <c r="K141" s="53"/>
      <c r="L141" s="53"/>
    </row>
    <row r="142" spans="1:12" ht="16.5" customHeight="1" x14ac:dyDescent="0.25">
      <c r="A142" s="53"/>
      <c r="B142" s="539"/>
      <c r="C142" s="539"/>
      <c r="D142" s="228" t="str">
        <f t="shared" si="2"/>
        <v/>
      </c>
      <c r="E142" s="54"/>
      <c r="F142" s="53"/>
      <c r="G142" s="53"/>
      <c r="H142" s="53"/>
      <c r="I142" s="53"/>
      <c r="J142" s="53"/>
      <c r="K142" s="53"/>
      <c r="L142" s="53"/>
    </row>
    <row r="143" spans="1:12" ht="16.5" customHeight="1" x14ac:dyDescent="0.25">
      <c r="A143" s="53"/>
      <c r="B143" s="539"/>
      <c r="C143" s="539"/>
      <c r="D143" s="228" t="str">
        <f t="shared" si="2"/>
        <v/>
      </c>
      <c r="E143" s="54"/>
      <c r="F143" s="53"/>
      <c r="G143" s="53"/>
      <c r="H143" s="53"/>
      <c r="I143" s="53"/>
      <c r="J143" s="53"/>
      <c r="K143" s="53"/>
      <c r="L143" s="53"/>
    </row>
    <row r="144" spans="1:12" ht="16.5" customHeight="1" x14ac:dyDescent="0.25">
      <c r="A144" s="54"/>
      <c r="B144" s="539"/>
      <c r="C144" s="539"/>
      <c r="D144" s="228" t="str">
        <f t="shared" si="2"/>
        <v/>
      </c>
      <c r="E144" s="54"/>
      <c r="F144" s="53"/>
      <c r="G144" s="53"/>
      <c r="H144" s="53"/>
      <c r="I144" s="53"/>
      <c r="J144" s="53"/>
      <c r="K144" s="53"/>
      <c r="L144" s="53"/>
    </row>
    <row r="145" spans="1:12" ht="16.5" customHeight="1" x14ac:dyDescent="0.25">
      <c r="A145" s="54"/>
      <c r="B145" s="54"/>
      <c r="C145" s="54"/>
      <c r="D145" s="54"/>
      <c r="E145" s="54"/>
      <c r="F145" s="53"/>
      <c r="G145" s="53"/>
      <c r="H145" s="53"/>
      <c r="I145" s="53"/>
      <c r="J145" s="53"/>
      <c r="K145" s="53"/>
      <c r="L145" s="53"/>
    </row>
    <row r="146" spans="1:12" ht="18" customHeight="1" x14ac:dyDescent="0.25">
      <c r="A146" s="53"/>
      <c r="B146" s="1830" t="s">
        <v>1066</v>
      </c>
      <c r="C146" s="1830"/>
      <c r="D146" s="86" t="str">
        <f>IF(AND(COUNTIF(D135:D144,"No")=0,COUNTIF(D135:D144,"Yes")&gt;2),"Yes","No")</f>
        <v>No</v>
      </c>
      <c r="E146" s="53"/>
      <c r="F146" s="53"/>
      <c r="G146" s="53"/>
      <c r="H146" s="53"/>
      <c r="I146" s="53"/>
      <c r="J146" s="53"/>
      <c r="K146" s="53"/>
      <c r="L146" s="53"/>
    </row>
    <row r="147" spans="1:12" ht="18" customHeight="1" x14ac:dyDescent="0.25">
      <c r="A147" s="53"/>
      <c r="B147" s="54"/>
      <c r="C147" s="54"/>
      <c r="D147" s="54"/>
      <c r="E147" s="53"/>
      <c r="F147" s="53"/>
      <c r="G147" s="53"/>
      <c r="H147" s="53"/>
      <c r="I147" s="53"/>
      <c r="J147" s="53"/>
      <c r="K147" s="53"/>
      <c r="L147" s="53"/>
    </row>
    <row r="148" spans="1:12" ht="16.5" customHeight="1" x14ac:dyDescent="0.25">
      <c r="A148" s="1877" t="s">
        <v>200</v>
      </c>
      <c r="B148" s="1877"/>
      <c r="C148" s="1877"/>
      <c r="D148" s="54"/>
      <c r="E148" s="54"/>
      <c r="F148" s="54"/>
      <c r="G148" s="54"/>
      <c r="H148" s="54"/>
      <c r="I148" s="54"/>
      <c r="J148" s="54"/>
      <c r="K148" s="54"/>
      <c r="L148" s="53"/>
    </row>
    <row r="149" spans="1:12" x14ac:dyDescent="0.25">
      <c r="A149" s="53"/>
      <c r="B149" s="54"/>
      <c r="C149" s="54"/>
      <c r="D149" s="54"/>
      <c r="E149" s="53"/>
      <c r="F149" s="53"/>
      <c r="G149" s="53"/>
      <c r="H149" s="53"/>
      <c r="I149" s="53"/>
      <c r="J149" s="53"/>
      <c r="K149" s="53"/>
      <c r="L149" s="53"/>
    </row>
    <row r="150" spans="1:12" ht="18" customHeight="1" x14ac:dyDescent="0.25">
      <c r="A150" s="53"/>
      <c r="B150" s="1856" t="s">
        <v>2103</v>
      </c>
      <c r="C150" s="1857"/>
      <c r="D150" s="1857"/>
      <c r="E150" s="1857"/>
      <c r="F150" s="1857"/>
      <c r="G150" s="444" t="s">
        <v>2101</v>
      </c>
      <c r="H150" s="1834" t="s">
        <v>2102</v>
      </c>
      <c r="I150" s="1835"/>
      <c r="J150" s="53"/>
      <c r="K150" s="53"/>
      <c r="L150" s="53"/>
    </row>
    <row r="151" spans="1:12" ht="24" customHeight="1" x14ac:dyDescent="0.25">
      <c r="A151" s="53"/>
      <c r="B151" s="1899" t="s">
        <v>1272</v>
      </c>
      <c r="C151" s="1900"/>
      <c r="D151" s="1900"/>
      <c r="E151" s="1900"/>
      <c r="F151" s="1912"/>
      <c r="G151" s="633" t="s">
        <v>129</v>
      </c>
      <c r="H151" s="1730"/>
      <c r="I151" s="1729"/>
      <c r="J151" s="53"/>
      <c r="K151" s="53"/>
      <c r="L151" s="53"/>
    </row>
    <row r="152" spans="1:12" ht="24" customHeight="1" x14ac:dyDescent="0.25">
      <c r="A152" s="53"/>
      <c r="B152" s="1899" t="s">
        <v>1868</v>
      </c>
      <c r="C152" s="1900"/>
      <c r="D152" s="1900"/>
      <c r="E152" s="1900"/>
      <c r="F152" s="1912"/>
      <c r="G152" s="970" t="s">
        <v>129</v>
      </c>
      <c r="H152" s="1730"/>
      <c r="I152" s="1729"/>
      <c r="J152" s="53"/>
      <c r="K152" s="53"/>
      <c r="L152" s="53"/>
    </row>
    <row r="153" spans="1:12" ht="19.5" customHeight="1" x14ac:dyDescent="0.25">
      <c r="A153" s="53"/>
      <c r="B153" s="54"/>
      <c r="C153" s="54"/>
      <c r="D153" s="54"/>
      <c r="E153" s="53"/>
      <c r="F153" s="53"/>
      <c r="G153" s="53"/>
      <c r="H153" s="53"/>
      <c r="I153" s="53"/>
      <c r="J153" s="53"/>
      <c r="K153" s="53"/>
      <c r="L153" s="53"/>
    </row>
    <row r="154" spans="1:12" ht="16.5" customHeight="1" x14ac:dyDescent="0.25">
      <c r="A154" s="1877" t="s">
        <v>25</v>
      </c>
      <c r="B154" s="1877"/>
      <c r="C154" s="1877"/>
      <c r="D154" s="54"/>
      <c r="E154" s="53"/>
      <c r="F154" s="53"/>
      <c r="G154" s="53"/>
      <c r="H154" s="53"/>
      <c r="I154" s="53"/>
      <c r="J154" s="53"/>
      <c r="K154" s="53"/>
      <c r="L154" s="53"/>
    </row>
    <row r="155" spans="1:12" ht="16.5" customHeight="1" x14ac:dyDescent="0.25">
      <c r="A155" s="53"/>
      <c r="B155" s="54"/>
      <c r="C155" s="54"/>
      <c r="D155" s="54"/>
      <c r="E155" s="53"/>
      <c r="F155" s="53"/>
      <c r="G155" s="53"/>
      <c r="H155" s="53"/>
      <c r="I155" s="53"/>
      <c r="J155" s="53"/>
      <c r="K155" s="53"/>
      <c r="L155" s="53"/>
    </row>
    <row r="156" spans="1:12" ht="16.5" customHeight="1" x14ac:dyDescent="0.25">
      <c r="A156" s="53"/>
      <c r="B156" s="271" t="s">
        <v>56</v>
      </c>
      <c r="C156" s="1193">
        <f>IF(D146="Yes",1,0)</f>
        <v>0</v>
      </c>
      <c r="D156" s="54"/>
      <c r="E156" s="53"/>
      <c r="F156" s="53"/>
      <c r="G156" s="53"/>
      <c r="H156" s="53"/>
      <c r="I156" s="53"/>
      <c r="J156" s="53"/>
      <c r="K156" s="53"/>
      <c r="L156" s="53"/>
    </row>
    <row r="157" spans="1:12" ht="16.5" customHeight="1" x14ac:dyDescent="0.25">
      <c r="A157" s="53"/>
      <c r="B157" s="272" t="s">
        <v>521</v>
      </c>
      <c r="C157" s="1193" t="str">
        <f>IF(AND(COUNTIF(G151:G152,"Submitted")=2,C156&gt;0),"Yes","No")</f>
        <v>No</v>
      </c>
      <c r="D157" s="54"/>
      <c r="E157" s="53"/>
      <c r="F157" s="53"/>
      <c r="G157" s="53"/>
      <c r="H157" s="53"/>
      <c r="I157" s="53"/>
      <c r="J157" s="53"/>
      <c r="K157" s="53"/>
      <c r="L157" s="53"/>
    </row>
    <row r="158" spans="1:12" ht="17.25" customHeight="1" x14ac:dyDescent="0.25">
      <c r="A158" s="53"/>
      <c r="B158" s="54"/>
      <c r="C158" s="54"/>
      <c r="D158" s="54"/>
      <c r="E158" s="53"/>
      <c r="F158" s="53"/>
      <c r="G158" s="53"/>
      <c r="H158" s="53"/>
      <c r="I158" s="53"/>
      <c r="J158" s="53"/>
      <c r="K158" s="53"/>
      <c r="L158" s="53"/>
    </row>
    <row r="159" spans="1:12" ht="15" hidden="1" customHeight="1" x14ac:dyDescent="0.25"/>
    <row r="160" spans="1:12"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spans="9:9" ht="15" hidden="1" customHeight="1" x14ac:dyDescent="0.25"/>
    <row r="226" spans="9:9" ht="15" hidden="1" customHeight="1" x14ac:dyDescent="0.25">
      <c r="I226" s="53"/>
    </row>
    <row r="227" spans="9:9" ht="15" hidden="1" customHeight="1" x14ac:dyDescent="0.25"/>
    <row r="228" spans="9:9" ht="15" hidden="1" customHeight="1" x14ac:dyDescent="0.25"/>
    <row r="229" spans="9:9" ht="15" hidden="1" customHeight="1" x14ac:dyDescent="0.25"/>
    <row r="230" spans="9:9" ht="15" hidden="1" customHeight="1" x14ac:dyDescent="0.25"/>
    <row r="231" spans="9:9" ht="15" hidden="1" customHeight="1" x14ac:dyDescent="0.25"/>
    <row r="232" spans="9:9" ht="15" hidden="1" customHeight="1" x14ac:dyDescent="0.25"/>
    <row r="233" spans="9:9" ht="15" hidden="1" customHeight="1" x14ac:dyDescent="0.25"/>
    <row r="234" spans="9:9" ht="15" hidden="1" customHeight="1" x14ac:dyDescent="0.25"/>
  </sheetData>
  <sheetProtection algorithmName="SHA-512" hashValue="vI4Er6WstSYl7SsOwTzndeT1+DcyzoRBjZ5PWiuscJeFrlou5aQcWCaPV4Y1ONnu6ZLUfwmGKzut7GrkJDBJEg==" saltValue="4kVRH5ah9PoPMnTZgkrGCw==" spinCount="100000" sheet="1" objects="1" scenarios="1"/>
  <mergeCells count="63">
    <mergeCell ref="H67:I67"/>
    <mergeCell ref="E32:F32"/>
    <mergeCell ref="A124:C124"/>
    <mergeCell ref="A111:C111"/>
    <mergeCell ref="H38:I38"/>
    <mergeCell ref="H39:I39"/>
    <mergeCell ref="G61:H61"/>
    <mergeCell ref="A65:C65"/>
    <mergeCell ref="A117:C117"/>
    <mergeCell ref="B114:F114"/>
    <mergeCell ref="B109:C109"/>
    <mergeCell ref="B115:F115"/>
    <mergeCell ref="B38:F38"/>
    <mergeCell ref="B68:F68"/>
    <mergeCell ref="B63:D63"/>
    <mergeCell ref="B113:F113"/>
    <mergeCell ref="H115:I115"/>
    <mergeCell ref="H68:I68"/>
    <mergeCell ref="B67:F67"/>
    <mergeCell ref="I2:J4"/>
    <mergeCell ref="A41:C41"/>
    <mergeCell ref="B59:E59"/>
    <mergeCell ref="A5:L6"/>
    <mergeCell ref="B10:E10"/>
    <mergeCell ref="B11:E11"/>
    <mergeCell ref="B12:E12"/>
    <mergeCell ref="B13:E13"/>
    <mergeCell ref="B14:E14"/>
    <mergeCell ref="A20:D20"/>
    <mergeCell ref="A36:C36"/>
    <mergeCell ref="B30:D30"/>
    <mergeCell ref="B31:D31"/>
    <mergeCell ref="A1:L1"/>
    <mergeCell ref="B39:F39"/>
    <mergeCell ref="B61:E61"/>
    <mergeCell ref="B28:D28"/>
    <mergeCell ref="B34:C34"/>
    <mergeCell ref="A48:C48"/>
    <mergeCell ref="A8:L8"/>
    <mergeCell ref="A16:L16"/>
    <mergeCell ref="B32:D32"/>
    <mergeCell ref="E30:F30"/>
    <mergeCell ref="E31:F31"/>
    <mergeCell ref="B60:E60"/>
    <mergeCell ref="A22:C22"/>
    <mergeCell ref="B18:C18"/>
    <mergeCell ref="D18:F18"/>
    <mergeCell ref="A154:C154"/>
    <mergeCell ref="A70:C70"/>
    <mergeCell ref="B146:C146"/>
    <mergeCell ref="B152:F152"/>
    <mergeCell ref="B151:F151"/>
    <mergeCell ref="A148:C148"/>
    <mergeCell ref="A78:C78"/>
    <mergeCell ref="A93:C93"/>
    <mergeCell ref="A76:L76"/>
    <mergeCell ref="A122:L122"/>
    <mergeCell ref="H113:I113"/>
    <mergeCell ref="B150:F150"/>
    <mergeCell ref="H150:I150"/>
    <mergeCell ref="H151:I151"/>
    <mergeCell ref="H152:I152"/>
    <mergeCell ref="H114:I114"/>
  </mergeCells>
  <conditionalFormatting sqref="G68">
    <cfRule type="expression" dxfId="89" priority="14">
      <formula>#REF!&lt;&gt;"Prescriptive Path"</formula>
    </cfRule>
  </conditionalFormatting>
  <conditionalFormatting sqref="G151:G152">
    <cfRule type="expression" dxfId="88" priority="10">
      <formula>#REF!&lt;&gt;"Prescriptive Path"</formula>
    </cfRule>
  </conditionalFormatting>
  <conditionalFormatting sqref="G114:G115">
    <cfRule type="expression" dxfId="87" priority="11">
      <formula>#REF!&lt;&gt;"Prescriptive Path"</formula>
    </cfRule>
  </conditionalFormatting>
  <conditionalFormatting sqref="G39">
    <cfRule type="expression" dxfId="86" priority="9">
      <formula>#REF!&lt;&gt;"Prescriptive Path"</formula>
    </cfRule>
  </conditionalFormatting>
  <conditionalFormatting sqref="H113:I113">
    <cfRule type="expression" dxfId="85" priority="8">
      <formula>#REF!&lt;&gt;"Prescriptive Path"</formula>
    </cfRule>
  </conditionalFormatting>
  <conditionalFormatting sqref="H67:I67">
    <cfRule type="expression" dxfId="84" priority="7">
      <formula>#REF!&lt;&gt;"Prescriptive Path"</formula>
    </cfRule>
  </conditionalFormatting>
  <conditionalFormatting sqref="H150:I150">
    <cfRule type="expression" dxfId="83" priority="6">
      <formula>#REF!&lt;&gt;"Prescriptive Path"</formula>
    </cfRule>
  </conditionalFormatting>
  <conditionalFormatting sqref="H151:H152">
    <cfRule type="expression" dxfId="82" priority="5">
      <formula>#REF!&lt;&gt;"Prescriptive Path"</formula>
    </cfRule>
  </conditionalFormatting>
  <conditionalFormatting sqref="H114:H115">
    <cfRule type="expression" dxfId="81" priority="4">
      <formula>#REF!&lt;&gt;"Prescriptive Path"</formula>
    </cfRule>
  </conditionalFormatting>
  <conditionalFormatting sqref="H68">
    <cfRule type="expression" dxfId="80" priority="3">
      <formula>#REF!&lt;&gt;"Prescriptive Path"</formula>
    </cfRule>
  </conditionalFormatting>
  <conditionalFormatting sqref="H38:I38">
    <cfRule type="expression" dxfId="79" priority="2">
      <formula>#REF!&lt;&gt;"Prescriptive Path"</formula>
    </cfRule>
  </conditionalFormatting>
  <conditionalFormatting sqref="H39">
    <cfRule type="expression" dxfId="78" priority="1">
      <formula>#REF!&lt;&gt;"Prescriptive Path"</formula>
    </cfRule>
  </conditionalFormatting>
  <dataValidations count="5">
    <dataValidation type="list" allowBlank="1" showInputMessage="1" showErrorMessage="1" sqref="C98:C107">
      <formula1>$B$85:$B$91</formula1>
    </dataValidation>
    <dataValidation type="list" allowBlank="1" showInputMessage="1" showErrorMessage="1" sqref="D18">
      <formula1>"Select,Option A: CO2 monitoring, Option B: Basic Combustion Venting Measures"</formula1>
    </dataValidation>
    <dataValidation allowBlank="1" showInputMessage="1" showErrorMessage="1" prompt="Example: _x000a_Fixtures: 2 T5 fluorescent tubes that emit 800 lumens, 1 desk halogen lamp that emits 600 lumens_x000a_Write information as follows:_x000a_&quot;2 T5 - 800 lm_x000a_1 halogen - 600 lm&quot;" sqref="F98:F107"/>
    <dataValidation type="list" allowBlank="1" showInputMessage="1" showErrorMessage="1" sqref="G68 G39 G114:G115 G151:G152">
      <formula1>"Select, Submitted,Not submitted"</formula1>
    </dataValidation>
    <dataValidation type="list" allowBlank="1" showInputMessage="1" showErrorMessage="1" sqref="E28 F59:F61 I61">
      <formula1>"Select,Yes,No"</formula1>
    </dataValidation>
  </dataValidations>
  <hyperlinks>
    <hyperlink ref="K3" location="'H-2 Ventilation in wet areas'!E3" tooltip="H-2" display="H-2"/>
    <hyperlink ref="L2" location="'H-4 Daylighting'!E3" tooltip="H-4" display="H-4"/>
    <hyperlink ref="L3" location="'H-5 Acoustic Comfort'!E3" tooltip="H-5" display="H-5"/>
    <hyperlink ref="K2" location="'H-1 Fresh Air Supply'!B3" tooltip="H-1" display="H-1"/>
    <hyperlink ref="K4" location="'H-3 Low-VOC Emissions '!B3" tooltip="H-3" display="H-3"/>
  </hyperlinks>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127"/>
  <sheetViews>
    <sheetView showRowColHeaders="0" workbookViewId="0">
      <pane ySplit="5" topLeftCell="A6" activePane="bottomLeft" state="frozen"/>
      <selection activeCell="E12" sqref="E12:F12"/>
      <selection pane="bottomLeft" activeCell="M4" sqref="M4"/>
    </sheetView>
  </sheetViews>
  <sheetFormatPr defaultColWidth="0" defaultRowHeight="15" zeroHeight="1" x14ac:dyDescent="0.25"/>
  <cols>
    <col min="1" max="1" width="4.5703125" style="302" customWidth="1"/>
    <col min="2" max="11" width="11.7109375" style="302" customWidth="1"/>
    <col min="12" max="16" width="9.42578125" style="302" customWidth="1"/>
    <col min="17" max="17" width="7" style="302" customWidth="1"/>
    <col min="18" max="18" width="0" style="302" hidden="1" customWidth="1"/>
    <col min="19" max="16383" width="9.140625" style="302" hidden="1"/>
    <col min="16384" max="16384" width="0.28515625" style="302" customWidth="1"/>
  </cols>
  <sheetData>
    <row r="1" spans="1:18 16384:16384" ht="30" customHeight="1" x14ac:dyDescent="0.25">
      <c r="A1" s="1214" t="s">
        <v>1012</v>
      </c>
      <c r="B1" s="1215"/>
      <c r="C1" s="1215"/>
      <c r="D1" s="1215"/>
      <c r="E1" s="1215"/>
      <c r="F1" s="1215"/>
      <c r="G1" s="1215"/>
      <c r="H1" s="1215"/>
      <c r="I1" s="1215"/>
      <c r="J1" s="1210" t="s">
        <v>1224</v>
      </c>
      <c r="K1" s="1210"/>
      <c r="L1" s="1210"/>
      <c r="M1" s="1210"/>
      <c r="N1" s="1210"/>
      <c r="O1" s="1210"/>
      <c r="P1" s="1210"/>
      <c r="Q1" s="1210"/>
      <c r="R1" s="301"/>
      <c r="XFD1" s="841"/>
    </row>
    <row r="2" spans="1:18 16384:16384" ht="18.75" x14ac:dyDescent="0.3">
      <c r="A2" s="303"/>
      <c r="B2" s="1213" t="s">
        <v>511</v>
      </c>
      <c r="C2" s="1213"/>
      <c r="D2" s="1213"/>
      <c r="E2" s="1213"/>
      <c r="F2" s="303"/>
      <c r="G2" s="303"/>
      <c r="H2" s="303"/>
      <c r="I2" s="303"/>
      <c r="J2" s="1209"/>
      <c r="K2" s="1209"/>
      <c r="L2" s="631"/>
      <c r="M2" s="631"/>
      <c r="N2" s="303"/>
      <c r="O2" s="303"/>
      <c r="P2" s="629"/>
      <c r="Q2" s="303"/>
      <c r="R2" s="301"/>
      <c r="XFD2" s="841"/>
    </row>
    <row r="3" spans="1:18 16384:16384" ht="18.75" x14ac:dyDescent="0.3">
      <c r="A3" s="303"/>
      <c r="B3" s="1213" t="s">
        <v>1013</v>
      </c>
      <c r="C3" s="1213"/>
      <c r="D3" s="1213"/>
      <c r="E3" s="1213"/>
      <c r="F3" s="303"/>
      <c r="G3" s="303"/>
      <c r="H3" s="303"/>
      <c r="I3" s="303"/>
      <c r="J3" s="632"/>
      <c r="K3" s="632"/>
      <c r="L3" s="631"/>
      <c r="M3" s="631"/>
      <c r="N3" s="303"/>
      <c r="O3" s="303"/>
      <c r="P3" s="629"/>
      <c r="Q3" s="303"/>
      <c r="R3" s="301"/>
      <c r="XFD3" s="841"/>
    </row>
    <row r="4" spans="1:18 16384:16384" ht="18.75" x14ac:dyDescent="0.3">
      <c r="A4" s="303"/>
      <c r="B4" s="1213" t="s">
        <v>1277</v>
      </c>
      <c r="C4" s="1213"/>
      <c r="D4" s="1213"/>
      <c r="E4" s="1213"/>
      <c r="F4" s="303"/>
      <c r="G4" s="303"/>
      <c r="H4" s="303"/>
      <c r="I4" s="303"/>
      <c r="J4" s="632"/>
      <c r="K4" s="632"/>
      <c r="L4" s="303"/>
      <c r="M4" s="303"/>
      <c r="N4" s="303"/>
      <c r="O4" s="303"/>
      <c r="P4" s="629"/>
      <c r="Q4" s="303"/>
      <c r="R4" s="301"/>
      <c r="XFD4" s="841"/>
    </row>
    <row r="5" spans="1:18 16384:16384" ht="12" customHeight="1" x14ac:dyDescent="0.25">
      <c r="A5" s="303"/>
      <c r="B5" s="303"/>
      <c r="C5" s="303"/>
      <c r="D5" s="303"/>
      <c r="E5" s="303"/>
      <c r="F5" s="303"/>
      <c r="G5" s="303"/>
      <c r="H5" s="303"/>
      <c r="I5" s="303"/>
      <c r="J5" s="629"/>
      <c r="K5" s="629"/>
      <c r="L5" s="300"/>
      <c r="M5" s="300"/>
      <c r="N5" s="300"/>
      <c r="O5" s="300"/>
      <c r="P5" s="629"/>
      <c r="Q5" s="303"/>
      <c r="R5" s="301"/>
      <c r="XFD5" s="841"/>
    </row>
    <row r="6" spans="1:18 16384:16384" ht="8.25" customHeight="1" x14ac:dyDescent="0.35">
      <c r="A6" s="688"/>
      <c r="B6" s="687"/>
      <c r="C6" s="1019"/>
      <c r="D6" s="1019"/>
      <c r="E6" s="1019"/>
      <c r="F6" s="1019"/>
      <c r="G6" s="688"/>
      <c r="H6" s="688"/>
      <c r="I6" s="688"/>
      <c r="J6" s="688"/>
      <c r="K6" s="688"/>
      <c r="L6" s="688"/>
      <c r="M6" s="688"/>
      <c r="N6" s="688"/>
      <c r="O6" s="688"/>
      <c r="P6" s="688"/>
      <c r="Q6" s="688"/>
      <c r="R6" s="301"/>
    </row>
    <row r="7" spans="1:18 16384:16384" ht="21" x14ac:dyDescent="0.35">
      <c r="A7" s="688"/>
      <c r="B7" s="1020" t="s">
        <v>511</v>
      </c>
      <c r="C7" s="1019"/>
      <c r="D7" s="1019"/>
      <c r="E7" s="1019"/>
      <c r="F7" s="1019"/>
      <c r="G7" s="688"/>
      <c r="H7" s="688"/>
      <c r="I7" s="688"/>
      <c r="J7" s="688"/>
      <c r="K7" s="688"/>
      <c r="L7" s="688"/>
      <c r="M7" s="688"/>
      <c r="N7" s="688"/>
      <c r="O7" s="688"/>
      <c r="P7" s="688"/>
      <c r="Q7" s="688"/>
      <c r="R7" s="301"/>
    </row>
    <row r="8" spans="1:18 16384:16384" ht="9" customHeight="1" x14ac:dyDescent="0.35">
      <c r="A8" s="688"/>
      <c r="B8" s="687"/>
      <c r="C8" s="1019"/>
      <c r="D8" s="1019"/>
      <c r="E8" s="1019"/>
      <c r="F8" s="1019"/>
      <c r="G8" s="688"/>
      <c r="H8" s="688"/>
      <c r="I8" s="688"/>
      <c r="J8" s="688"/>
      <c r="K8" s="688"/>
      <c r="L8" s="688"/>
      <c r="M8" s="688"/>
      <c r="N8" s="688"/>
      <c r="O8" s="688"/>
      <c r="P8" s="688"/>
      <c r="Q8" s="688"/>
      <c r="R8" s="301"/>
    </row>
    <row r="9" spans="1:18 16384:16384" ht="16.5" customHeight="1" x14ac:dyDescent="0.3">
      <c r="A9" s="688"/>
      <c r="B9" s="1021" t="s">
        <v>1200</v>
      </c>
      <c r="C9" s="1019"/>
      <c r="D9" s="1019"/>
      <c r="E9" s="1019"/>
      <c r="F9" s="1019"/>
      <c r="G9" s="688"/>
      <c r="H9" s="688"/>
      <c r="I9" s="688"/>
      <c r="J9" s="688"/>
      <c r="K9" s="688"/>
      <c r="L9" s="688"/>
      <c r="M9" s="688"/>
      <c r="N9" s="688"/>
      <c r="O9" s="688"/>
      <c r="P9" s="688"/>
      <c r="Q9" s="688"/>
      <c r="R9" s="301"/>
    </row>
    <row r="10" spans="1:18 16384:16384" ht="16.5" customHeight="1" x14ac:dyDescent="0.3">
      <c r="A10" s="688"/>
      <c r="B10" s="1022" t="s">
        <v>1588</v>
      </c>
      <c r="C10" s="1019"/>
      <c r="D10" s="1019"/>
      <c r="E10" s="1019"/>
      <c r="F10" s="1019"/>
      <c r="G10" s="688"/>
      <c r="H10" s="688"/>
      <c r="I10" s="688"/>
      <c r="J10" s="688"/>
      <c r="K10" s="688"/>
      <c r="L10" s="688"/>
      <c r="M10" s="688"/>
      <c r="N10" s="688"/>
      <c r="O10" s="688"/>
      <c r="P10" s="688"/>
      <c r="Q10" s="688"/>
      <c r="R10" s="301"/>
    </row>
    <row r="11" spans="1:18 16384:16384" ht="16.5" customHeight="1" x14ac:dyDescent="0.3">
      <c r="A11" s="688"/>
      <c r="B11" s="1022" t="s">
        <v>1201</v>
      </c>
      <c r="C11" s="1019"/>
      <c r="D11" s="1019"/>
      <c r="E11" s="1019"/>
      <c r="F11" s="1019"/>
      <c r="G11" s="688"/>
      <c r="H11" s="688"/>
      <c r="I11" s="688"/>
      <c r="J11" s="688"/>
      <c r="K11" s="688"/>
      <c r="L11" s="688"/>
      <c r="M11" s="688"/>
      <c r="N11" s="688"/>
      <c r="O11" s="688"/>
      <c r="P11" s="688"/>
      <c r="Q11" s="688"/>
      <c r="R11" s="301"/>
    </row>
    <row r="12" spans="1:18 16384:16384" ht="16.5" customHeight="1" x14ac:dyDescent="0.3">
      <c r="A12" s="688"/>
      <c r="B12" s="1022" t="s">
        <v>1202</v>
      </c>
      <c r="C12" s="1019"/>
      <c r="D12" s="1019"/>
      <c r="E12" s="1019"/>
      <c r="F12" s="1019"/>
      <c r="G12" s="688"/>
      <c r="H12" s="688"/>
      <c r="I12" s="688"/>
      <c r="J12" s="688"/>
      <c r="K12" s="688"/>
      <c r="L12" s="688"/>
      <c r="M12" s="688"/>
      <c r="N12" s="688"/>
      <c r="O12" s="688"/>
      <c r="P12" s="688"/>
      <c r="Q12" s="688"/>
      <c r="R12" s="301"/>
    </row>
    <row r="13" spans="1:18 16384:16384" ht="16.5" customHeight="1" x14ac:dyDescent="0.3">
      <c r="A13" s="688"/>
      <c r="B13" s="1022" t="s">
        <v>567</v>
      </c>
      <c r="C13" s="1019"/>
      <c r="D13" s="1019"/>
      <c r="E13" s="1019"/>
      <c r="F13" s="1019"/>
      <c r="G13" s="688"/>
      <c r="H13" s="688"/>
      <c r="I13" s="688"/>
      <c r="J13" s="688"/>
      <c r="K13" s="688"/>
      <c r="L13" s="688"/>
      <c r="M13" s="688"/>
      <c r="N13" s="688"/>
      <c r="O13" s="688"/>
      <c r="P13" s="688"/>
      <c r="Q13" s="688"/>
      <c r="R13" s="301"/>
    </row>
    <row r="14" spans="1:18 16384:16384" ht="12" customHeight="1" x14ac:dyDescent="0.3">
      <c r="A14" s="688"/>
      <c r="B14" s="1023"/>
      <c r="C14" s="1019"/>
      <c r="D14" s="1019"/>
      <c r="E14" s="1019"/>
      <c r="F14" s="1019"/>
      <c r="G14" s="688"/>
      <c r="H14" s="688"/>
      <c r="I14" s="688"/>
      <c r="J14" s="688"/>
      <c r="K14" s="688"/>
      <c r="L14" s="688"/>
      <c r="M14" s="688"/>
      <c r="N14" s="688"/>
      <c r="O14" s="688"/>
      <c r="P14" s="688"/>
      <c r="Q14" s="688"/>
      <c r="R14" s="301"/>
    </row>
    <row r="15" spans="1:18 16384:16384" ht="21" x14ac:dyDescent="0.35">
      <c r="A15" s="688"/>
      <c r="B15" s="1020" t="s">
        <v>1278</v>
      </c>
      <c r="C15" s="1024"/>
      <c r="D15" s="1024"/>
      <c r="E15" s="1024"/>
      <c r="F15" s="1024"/>
      <c r="G15" s="1024"/>
      <c r="H15" s="688"/>
      <c r="I15" s="688"/>
      <c r="J15" s="688"/>
      <c r="K15" s="688"/>
      <c r="L15" s="688"/>
      <c r="M15" s="688"/>
      <c r="N15" s="688"/>
      <c r="O15" s="688"/>
      <c r="P15" s="688"/>
      <c r="Q15" s="688"/>
      <c r="R15" s="301"/>
    </row>
    <row r="16" spans="1:18 16384:16384" ht="9" customHeight="1" x14ac:dyDescent="0.3">
      <c r="A16" s="688"/>
      <c r="B16" s="1025"/>
      <c r="C16" s="1024"/>
      <c r="D16" s="1024"/>
      <c r="E16" s="1024"/>
      <c r="F16" s="1024"/>
      <c r="G16" s="1024"/>
      <c r="H16" s="688"/>
      <c r="I16" s="688"/>
      <c r="J16" s="688"/>
      <c r="K16" s="688"/>
      <c r="L16" s="688"/>
      <c r="M16" s="688"/>
      <c r="N16" s="688"/>
      <c r="O16" s="688"/>
      <c r="P16" s="688"/>
      <c r="Q16" s="688"/>
      <c r="R16" s="301"/>
    </row>
    <row r="17" spans="1:18" ht="15" customHeight="1" x14ac:dyDescent="0.25">
      <c r="A17" s="688"/>
      <c r="B17" s="1229" t="s">
        <v>1589</v>
      </c>
      <c r="C17" s="1230"/>
      <c r="D17" s="1230"/>
      <c r="E17" s="1230"/>
      <c r="F17" s="1230"/>
      <c r="G17" s="1230"/>
      <c r="H17" s="1230"/>
      <c r="I17" s="1230"/>
      <c r="J17" s="1230"/>
      <c r="K17" s="1231"/>
      <c r="L17" s="688"/>
      <c r="M17" s="688"/>
      <c r="N17" s="688"/>
      <c r="O17" s="688"/>
      <c r="P17" s="688"/>
      <c r="Q17" s="688"/>
      <c r="R17" s="301"/>
    </row>
    <row r="18" spans="1:18" ht="16.5" customHeight="1" x14ac:dyDescent="0.25">
      <c r="A18" s="688"/>
      <c r="B18" s="1237" t="s">
        <v>1203</v>
      </c>
      <c r="C18" s="1238"/>
      <c r="D18" s="1238"/>
      <c r="E18" s="1238"/>
      <c r="F18" s="1238"/>
      <c r="G18" s="1238"/>
      <c r="H18" s="1238"/>
      <c r="I18" s="1238"/>
      <c r="J18" s="1238"/>
      <c r="K18" s="1239"/>
      <c r="L18" s="688"/>
      <c r="M18" s="688"/>
      <c r="N18" s="688"/>
      <c r="O18" s="688"/>
      <c r="P18" s="688"/>
      <c r="Q18" s="688"/>
      <c r="R18" s="301"/>
    </row>
    <row r="19" spans="1:18" ht="16.5" customHeight="1" x14ac:dyDescent="0.25">
      <c r="A19" s="688"/>
      <c r="B19" s="1237" t="s">
        <v>1787</v>
      </c>
      <c r="C19" s="1238"/>
      <c r="D19" s="1238"/>
      <c r="E19" s="1238"/>
      <c r="F19" s="1238"/>
      <c r="G19" s="1238"/>
      <c r="H19" s="1238"/>
      <c r="I19" s="1238"/>
      <c r="J19" s="1238"/>
      <c r="K19" s="1239"/>
      <c r="L19" s="688"/>
      <c r="M19" s="688"/>
      <c r="N19" s="688"/>
      <c r="O19" s="688"/>
      <c r="P19" s="688"/>
      <c r="Q19" s="688"/>
      <c r="R19" s="301"/>
    </row>
    <row r="20" spans="1:18" ht="16.5" customHeight="1" x14ac:dyDescent="0.25">
      <c r="A20" s="688"/>
      <c r="B20" s="1237" t="s">
        <v>1788</v>
      </c>
      <c r="C20" s="1238"/>
      <c r="D20" s="1238"/>
      <c r="E20" s="1238"/>
      <c r="F20" s="1238"/>
      <c r="G20" s="1238"/>
      <c r="H20" s="1238"/>
      <c r="I20" s="1238"/>
      <c r="J20" s="1238"/>
      <c r="K20" s="1239"/>
      <c r="L20" s="688"/>
      <c r="M20" s="688"/>
      <c r="N20" s="688"/>
      <c r="O20" s="688"/>
      <c r="P20" s="688"/>
      <c r="Q20" s="688"/>
      <c r="R20" s="301"/>
    </row>
    <row r="21" spans="1:18" ht="16.5" customHeight="1" x14ac:dyDescent="0.25">
      <c r="A21" s="688"/>
      <c r="B21" s="1240" t="s">
        <v>1204</v>
      </c>
      <c r="C21" s="1241"/>
      <c r="D21" s="1241"/>
      <c r="E21" s="1241"/>
      <c r="F21" s="1241"/>
      <c r="G21" s="1241"/>
      <c r="H21" s="1241"/>
      <c r="I21" s="1241"/>
      <c r="J21" s="1241"/>
      <c r="K21" s="1242"/>
      <c r="L21" s="688"/>
      <c r="M21" s="688"/>
      <c r="N21" s="688"/>
      <c r="O21" s="688"/>
      <c r="P21" s="688"/>
      <c r="Q21" s="688"/>
      <c r="R21" s="301"/>
    </row>
    <row r="22" spans="1:18" ht="15" customHeight="1" x14ac:dyDescent="0.3">
      <c r="A22" s="688"/>
      <c r="B22" s="1021"/>
      <c r="C22" s="1019"/>
      <c r="D22" s="1019"/>
      <c r="E22" s="1019"/>
      <c r="F22" s="1019"/>
      <c r="G22" s="688"/>
      <c r="H22" s="688"/>
      <c r="I22" s="688"/>
      <c r="J22" s="688"/>
      <c r="K22" s="688"/>
      <c r="L22" s="688"/>
      <c r="M22" s="688"/>
      <c r="N22" s="688"/>
      <c r="O22" s="688"/>
      <c r="P22" s="688"/>
      <c r="Q22" s="688"/>
      <c r="R22" s="301"/>
    </row>
    <row r="23" spans="1:18" ht="15" customHeight="1" x14ac:dyDescent="0.25">
      <c r="A23" s="688"/>
      <c r="B23" s="1031" t="s">
        <v>1279</v>
      </c>
      <c r="C23" s="1032"/>
      <c r="D23" s="1033"/>
      <c r="E23" s="1033"/>
      <c r="F23" s="1033"/>
      <c r="G23" s="1033"/>
      <c r="H23" s="1033"/>
      <c r="I23" s="1033"/>
      <c r="J23" s="1033"/>
      <c r="K23" s="1033"/>
      <c r="L23" s="688"/>
      <c r="M23" s="688"/>
      <c r="N23" s="688"/>
      <c r="O23" s="688"/>
      <c r="P23" s="688"/>
      <c r="Q23" s="688"/>
      <c r="R23" s="301"/>
    </row>
    <row r="24" spans="1:18" ht="18" customHeight="1" x14ac:dyDescent="0.25">
      <c r="A24" s="688"/>
      <c r="B24" s="1243" t="s">
        <v>1280</v>
      </c>
      <c r="C24" s="1244"/>
      <c r="D24" s="1244" t="s">
        <v>779</v>
      </c>
      <c r="E24" s="1244"/>
      <c r="F24" s="1244" t="s">
        <v>1281</v>
      </c>
      <c r="G24" s="1244" t="s">
        <v>1281</v>
      </c>
      <c r="H24" s="1244" t="s">
        <v>1282</v>
      </c>
      <c r="I24" s="1244" t="s">
        <v>1281</v>
      </c>
      <c r="J24" s="1244" t="s">
        <v>1283</v>
      </c>
      <c r="K24" s="1245"/>
      <c r="L24" s="688"/>
      <c r="M24" s="688"/>
      <c r="N24" s="688"/>
      <c r="O24" s="688"/>
      <c r="P24" s="688"/>
      <c r="Q24" s="688"/>
      <c r="R24" s="301"/>
    </row>
    <row r="25" spans="1:18" ht="42" customHeight="1" x14ac:dyDescent="0.25">
      <c r="A25" s="688"/>
      <c r="B25" s="1232"/>
      <c r="C25" s="1233"/>
      <c r="D25" s="1232"/>
      <c r="E25" s="1233"/>
      <c r="F25" s="1232"/>
      <c r="G25" s="1233"/>
      <c r="H25" s="1234"/>
      <c r="I25" s="1235"/>
      <c r="J25" s="1234"/>
      <c r="K25" s="1236"/>
      <c r="L25" s="688"/>
      <c r="M25" s="688"/>
      <c r="N25" s="688"/>
      <c r="O25" s="688"/>
      <c r="P25" s="688"/>
      <c r="Q25" s="688"/>
      <c r="R25" s="301"/>
    </row>
    <row r="26" spans="1:18" ht="15" customHeight="1" x14ac:dyDescent="0.3">
      <c r="A26" s="688"/>
      <c r="B26" s="1021"/>
      <c r="C26" s="1019"/>
      <c r="D26" s="1019"/>
      <c r="E26" s="1019"/>
      <c r="F26" s="1019"/>
      <c r="G26" s="688"/>
      <c r="H26" s="688"/>
      <c r="I26" s="688"/>
      <c r="J26" s="688"/>
      <c r="K26" s="688"/>
      <c r="L26" s="688"/>
      <c r="M26" s="688"/>
      <c r="N26" s="688"/>
      <c r="O26" s="688"/>
      <c r="P26" s="688"/>
      <c r="Q26" s="688"/>
      <c r="R26" s="301"/>
    </row>
    <row r="27" spans="1:18" ht="15" customHeight="1" x14ac:dyDescent="0.3">
      <c r="A27" s="688"/>
      <c r="B27" s="1021"/>
      <c r="C27" s="1019"/>
      <c r="D27" s="1019"/>
      <c r="E27" s="1019"/>
      <c r="F27" s="1019"/>
      <c r="G27" s="688"/>
      <c r="H27" s="688"/>
      <c r="I27" s="688"/>
      <c r="J27" s="688"/>
      <c r="K27" s="688"/>
      <c r="L27" s="688"/>
      <c r="M27" s="688"/>
      <c r="N27" s="688"/>
      <c r="O27" s="688"/>
      <c r="P27" s="688"/>
      <c r="Q27" s="688"/>
      <c r="R27" s="301"/>
    </row>
    <row r="28" spans="1:18" ht="15" customHeight="1" x14ac:dyDescent="0.3">
      <c r="A28" s="688"/>
      <c r="B28" s="1021"/>
      <c r="C28" s="1019"/>
      <c r="D28" s="1019"/>
      <c r="E28" s="1019"/>
      <c r="F28" s="1019"/>
      <c r="G28" s="688"/>
      <c r="H28" s="688"/>
      <c r="I28" s="688"/>
      <c r="J28" s="688"/>
      <c r="K28" s="688"/>
      <c r="L28" s="688"/>
      <c r="M28" s="688"/>
      <c r="N28" s="688"/>
      <c r="O28" s="688"/>
      <c r="P28" s="688"/>
      <c r="Q28" s="688"/>
      <c r="R28" s="301"/>
    </row>
    <row r="29" spans="1:18" ht="15" customHeight="1" x14ac:dyDescent="0.3">
      <c r="A29" s="688"/>
      <c r="B29" s="1021"/>
      <c r="C29" s="1019"/>
      <c r="D29" s="1019"/>
      <c r="E29" s="1019"/>
      <c r="F29" s="1019"/>
      <c r="G29" s="688"/>
      <c r="H29" s="688"/>
      <c r="I29" s="688"/>
      <c r="J29" s="688"/>
      <c r="K29" s="688"/>
      <c r="L29" s="688"/>
      <c r="M29" s="688"/>
      <c r="N29" s="688"/>
      <c r="O29" s="688"/>
      <c r="P29" s="688"/>
      <c r="Q29" s="688"/>
      <c r="R29" s="301"/>
    </row>
    <row r="30" spans="1:18" ht="15" customHeight="1" x14ac:dyDescent="0.3">
      <c r="A30" s="688"/>
      <c r="B30" s="1021"/>
      <c r="C30" s="1019"/>
      <c r="D30" s="1019"/>
      <c r="E30" s="1019"/>
      <c r="F30" s="1019"/>
      <c r="G30" s="688"/>
      <c r="H30" s="688"/>
      <c r="I30" s="688"/>
      <c r="J30" s="688"/>
      <c r="K30" s="688"/>
      <c r="L30" s="688"/>
      <c r="M30" s="688"/>
      <c r="N30" s="688"/>
      <c r="O30" s="688"/>
      <c r="P30" s="688"/>
      <c r="Q30" s="688"/>
      <c r="R30" s="301"/>
    </row>
    <row r="31" spans="1:18" ht="15" customHeight="1" x14ac:dyDescent="0.3">
      <c r="A31" s="688"/>
      <c r="B31" s="1021"/>
      <c r="C31" s="1019"/>
      <c r="D31" s="1019"/>
      <c r="E31" s="1019"/>
      <c r="F31" s="1019"/>
      <c r="G31" s="688"/>
      <c r="H31" s="688"/>
      <c r="I31" s="688"/>
      <c r="J31" s="688"/>
      <c r="K31" s="688"/>
      <c r="L31" s="688"/>
      <c r="M31" s="688"/>
      <c r="N31" s="688"/>
      <c r="O31" s="688"/>
      <c r="P31" s="688"/>
      <c r="Q31" s="688"/>
      <c r="R31" s="301"/>
    </row>
    <row r="32" spans="1:18" ht="15" customHeight="1" x14ac:dyDescent="0.3">
      <c r="A32" s="688"/>
      <c r="B32" s="1021"/>
      <c r="C32" s="1019"/>
      <c r="D32" s="1019"/>
      <c r="E32" s="1019"/>
      <c r="F32" s="1019"/>
      <c r="G32" s="688"/>
      <c r="H32" s="688"/>
      <c r="I32" s="688"/>
      <c r="J32" s="688"/>
      <c r="K32" s="688"/>
      <c r="L32" s="688"/>
      <c r="M32" s="688"/>
      <c r="N32" s="688"/>
      <c r="O32" s="688"/>
      <c r="P32" s="688"/>
      <c r="Q32" s="688"/>
      <c r="R32" s="301"/>
    </row>
    <row r="33" spans="1:18" ht="15" customHeight="1" x14ac:dyDescent="0.3">
      <c r="A33" s="688"/>
      <c r="B33" s="1021"/>
      <c r="C33" s="1019"/>
      <c r="D33" s="1019"/>
      <c r="E33" s="1019"/>
      <c r="F33" s="1019"/>
      <c r="G33" s="688"/>
      <c r="H33" s="688"/>
      <c r="I33" s="688"/>
      <c r="J33" s="688"/>
      <c r="K33" s="688"/>
      <c r="L33" s="688"/>
      <c r="M33" s="688"/>
      <c r="N33" s="688"/>
      <c r="O33" s="688"/>
      <c r="P33" s="688"/>
      <c r="Q33" s="688"/>
      <c r="R33" s="301"/>
    </row>
    <row r="34" spans="1:18" ht="15" customHeight="1" x14ac:dyDescent="0.3">
      <c r="A34" s="688"/>
      <c r="B34" s="1021"/>
      <c r="C34" s="1019"/>
      <c r="D34" s="1019"/>
      <c r="E34" s="1019"/>
      <c r="F34" s="1019"/>
      <c r="G34" s="688"/>
      <c r="H34" s="688"/>
      <c r="I34" s="688"/>
      <c r="J34" s="688"/>
      <c r="K34" s="688"/>
      <c r="L34" s="688"/>
      <c r="M34" s="688"/>
      <c r="N34" s="688"/>
      <c r="O34" s="688"/>
      <c r="P34" s="688"/>
      <c r="Q34" s="688"/>
      <c r="R34" s="301"/>
    </row>
    <row r="35" spans="1:18" ht="15" customHeight="1" x14ac:dyDescent="0.3">
      <c r="A35" s="688"/>
      <c r="B35" s="1021"/>
      <c r="C35" s="1019"/>
      <c r="D35" s="1019"/>
      <c r="E35" s="1019"/>
      <c r="F35" s="1019"/>
      <c r="G35" s="688"/>
      <c r="H35" s="688"/>
      <c r="I35" s="688"/>
      <c r="J35" s="688"/>
      <c r="K35" s="688"/>
      <c r="L35" s="688"/>
      <c r="M35" s="688"/>
      <c r="N35" s="688"/>
      <c r="O35" s="688"/>
      <c r="P35" s="688"/>
      <c r="Q35" s="688"/>
      <c r="R35" s="301"/>
    </row>
    <row r="36" spans="1:18" ht="15" customHeight="1" x14ac:dyDescent="0.3">
      <c r="A36" s="688"/>
      <c r="B36" s="1021"/>
      <c r="C36" s="1019"/>
      <c r="D36" s="1019"/>
      <c r="E36" s="1019"/>
      <c r="F36" s="1019"/>
      <c r="G36" s="688"/>
      <c r="H36" s="688"/>
      <c r="I36" s="688"/>
      <c r="J36" s="688"/>
      <c r="K36" s="688"/>
      <c r="L36" s="688"/>
      <c r="M36" s="688"/>
      <c r="N36" s="688"/>
      <c r="O36" s="688"/>
      <c r="P36" s="688"/>
      <c r="Q36" s="688"/>
      <c r="R36" s="301"/>
    </row>
    <row r="37" spans="1:18" ht="15" customHeight="1" x14ac:dyDescent="0.3">
      <c r="A37" s="688"/>
      <c r="B37" s="1021"/>
      <c r="C37" s="1019"/>
      <c r="D37" s="1019"/>
      <c r="E37" s="1019"/>
      <c r="F37" s="1019"/>
      <c r="G37" s="688"/>
      <c r="H37" s="688"/>
      <c r="I37" s="688"/>
      <c r="J37" s="688"/>
      <c r="K37" s="688"/>
      <c r="L37" s="688"/>
      <c r="M37" s="688"/>
      <c r="N37" s="688"/>
      <c r="O37" s="688"/>
      <c r="P37" s="688"/>
      <c r="Q37" s="688"/>
      <c r="R37" s="301"/>
    </row>
    <row r="38" spans="1:18" ht="15" customHeight="1" x14ac:dyDescent="0.3">
      <c r="A38" s="688"/>
      <c r="B38" s="1021"/>
      <c r="C38" s="1019"/>
      <c r="D38" s="1019"/>
      <c r="E38" s="1019"/>
      <c r="F38" s="1019"/>
      <c r="G38" s="688"/>
      <c r="H38" s="688"/>
      <c r="I38" s="688"/>
      <c r="J38" s="688"/>
      <c r="K38" s="688"/>
      <c r="L38" s="688"/>
      <c r="M38" s="688"/>
      <c r="N38" s="688"/>
      <c r="O38" s="688"/>
      <c r="P38" s="688"/>
      <c r="Q38" s="688"/>
      <c r="R38" s="301"/>
    </row>
    <row r="39" spans="1:18" ht="15" customHeight="1" x14ac:dyDescent="0.3">
      <c r="A39" s="688"/>
      <c r="B39" s="1021"/>
      <c r="C39" s="1019"/>
      <c r="D39" s="1019"/>
      <c r="E39" s="1019"/>
      <c r="F39" s="1019"/>
      <c r="G39" s="688"/>
      <c r="H39" s="688"/>
      <c r="I39" s="688"/>
      <c r="J39" s="688"/>
      <c r="K39" s="688"/>
      <c r="L39" s="688"/>
      <c r="M39" s="688"/>
      <c r="N39" s="688"/>
      <c r="O39" s="688"/>
      <c r="P39" s="688"/>
      <c r="Q39" s="688"/>
      <c r="R39" s="301"/>
    </row>
    <row r="40" spans="1:18" ht="15" customHeight="1" x14ac:dyDescent="0.3">
      <c r="A40" s="688"/>
      <c r="B40" s="1021"/>
      <c r="C40" s="1019"/>
      <c r="D40" s="1019"/>
      <c r="E40" s="1019"/>
      <c r="F40" s="1019"/>
      <c r="G40" s="688"/>
      <c r="H40" s="688"/>
      <c r="I40" s="688"/>
      <c r="J40" s="688"/>
      <c r="K40" s="688"/>
      <c r="L40" s="688"/>
      <c r="M40" s="688"/>
      <c r="N40" s="688"/>
      <c r="O40" s="688"/>
      <c r="P40" s="688"/>
      <c r="Q40" s="688"/>
      <c r="R40" s="301"/>
    </row>
    <row r="41" spans="1:18" ht="15" customHeight="1" x14ac:dyDescent="0.3">
      <c r="A41" s="688"/>
      <c r="B41" s="1021"/>
      <c r="C41" s="1019"/>
      <c r="D41" s="1019"/>
      <c r="E41" s="1019"/>
      <c r="F41" s="1019"/>
      <c r="G41" s="688"/>
      <c r="H41" s="688"/>
      <c r="I41" s="688"/>
      <c r="J41" s="688"/>
      <c r="K41" s="688"/>
      <c r="L41" s="688"/>
      <c r="M41" s="688"/>
      <c r="N41" s="688"/>
      <c r="O41" s="688"/>
      <c r="P41" s="688"/>
      <c r="Q41" s="688"/>
      <c r="R41" s="301"/>
    </row>
    <row r="42" spans="1:18" ht="15" customHeight="1" x14ac:dyDescent="0.3">
      <c r="A42" s="688"/>
      <c r="B42" s="1021"/>
      <c r="C42" s="1019"/>
      <c r="D42" s="1019"/>
      <c r="E42" s="1019"/>
      <c r="F42" s="1019"/>
      <c r="G42" s="688"/>
      <c r="H42" s="688"/>
      <c r="I42" s="688"/>
      <c r="J42" s="688"/>
      <c r="K42" s="688"/>
      <c r="L42" s="688"/>
      <c r="M42" s="688"/>
      <c r="N42" s="688"/>
      <c r="O42" s="688"/>
      <c r="P42" s="688"/>
      <c r="Q42" s="688"/>
      <c r="R42" s="301"/>
    </row>
    <row r="43" spans="1:18" ht="15" customHeight="1" x14ac:dyDescent="0.3">
      <c r="A43" s="688"/>
      <c r="B43" s="1021"/>
      <c r="C43" s="1019"/>
      <c r="D43" s="1019"/>
      <c r="E43" s="1019"/>
      <c r="F43" s="1019"/>
      <c r="G43" s="688"/>
      <c r="H43" s="688"/>
      <c r="I43" s="688"/>
      <c r="J43" s="688"/>
      <c r="K43" s="688"/>
      <c r="L43" s="688"/>
      <c r="M43" s="688"/>
      <c r="N43" s="688"/>
      <c r="O43" s="688"/>
      <c r="P43" s="688"/>
      <c r="Q43" s="688"/>
      <c r="R43" s="301"/>
    </row>
    <row r="44" spans="1:18" ht="15" customHeight="1" x14ac:dyDescent="0.3">
      <c r="A44" s="688"/>
      <c r="B44" s="1021"/>
      <c r="C44" s="1019"/>
      <c r="D44" s="1019"/>
      <c r="E44" s="1019"/>
      <c r="F44" s="1019"/>
      <c r="G44" s="688"/>
      <c r="H44" s="688"/>
      <c r="I44" s="688"/>
      <c r="J44" s="688"/>
      <c r="K44" s="688"/>
      <c r="L44" s="688"/>
      <c r="M44" s="688"/>
      <c r="N44" s="688"/>
      <c r="O44" s="688"/>
      <c r="P44" s="688"/>
      <c r="Q44" s="688"/>
      <c r="R44" s="301"/>
    </row>
    <row r="45" spans="1:18" ht="15" customHeight="1" x14ac:dyDescent="0.3">
      <c r="A45" s="688"/>
      <c r="B45" s="1021"/>
      <c r="C45" s="1019"/>
      <c r="D45" s="1019"/>
      <c r="E45" s="1019"/>
      <c r="F45" s="1019"/>
      <c r="G45" s="688"/>
      <c r="H45" s="688"/>
      <c r="I45" s="688"/>
      <c r="J45" s="688"/>
      <c r="K45" s="688"/>
      <c r="L45" s="688"/>
      <c r="M45" s="688"/>
      <c r="N45" s="688"/>
      <c r="O45" s="688"/>
      <c r="P45" s="688"/>
      <c r="Q45" s="688"/>
      <c r="R45" s="301"/>
    </row>
    <row r="46" spans="1:18" ht="15" customHeight="1" x14ac:dyDescent="0.3">
      <c r="A46" s="688"/>
      <c r="B46" s="1021"/>
      <c r="C46" s="1019"/>
      <c r="D46" s="1019"/>
      <c r="E46" s="1019"/>
      <c r="F46" s="1019"/>
      <c r="G46" s="688"/>
      <c r="H46" s="688"/>
      <c r="I46" s="688"/>
      <c r="J46" s="688"/>
      <c r="K46" s="688"/>
      <c r="L46" s="688"/>
      <c r="M46" s="688"/>
      <c r="N46" s="688"/>
      <c r="O46" s="688"/>
      <c r="P46" s="688"/>
      <c r="Q46" s="688"/>
      <c r="R46" s="301"/>
    </row>
    <row r="47" spans="1:18" ht="15" customHeight="1" x14ac:dyDescent="0.3">
      <c r="A47" s="688"/>
      <c r="B47" s="1021"/>
      <c r="C47" s="1019"/>
      <c r="D47" s="1019"/>
      <c r="E47" s="1019"/>
      <c r="F47" s="1019"/>
      <c r="G47" s="688"/>
      <c r="H47" s="688"/>
      <c r="I47" s="688"/>
      <c r="J47" s="688"/>
      <c r="K47" s="688"/>
      <c r="L47" s="688"/>
      <c r="M47" s="688"/>
      <c r="N47" s="688"/>
      <c r="O47" s="688"/>
      <c r="P47" s="688"/>
      <c r="Q47" s="688"/>
      <c r="R47" s="301"/>
    </row>
    <row r="48" spans="1:18" ht="15" customHeight="1" x14ac:dyDescent="0.3">
      <c r="A48" s="688"/>
      <c r="B48" s="1021"/>
      <c r="C48" s="1019"/>
      <c r="D48" s="1019"/>
      <c r="E48" s="1019"/>
      <c r="F48" s="1019"/>
      <c r="G48" s="688"/>
      <c r="H48" s="688"/>
      <c r="I48" s="688"/>
      <c r="J48" s="688"/>
      <c r="K48" s="688"/>
      <c r="L48" s="688"/>
      <c r="M48" s="688"/>
      <c r="N48" s="688"/>
      <c r="O48" s="688"/>
      <c r="P48" s="688"/>
      <c r="Q48" s="688"/>
      <c r="R48" s="301"/>
    </row>
    <row r="49" spans="1:18" ht="15" customHeight="1" x14ac:dyDescent="0.3">
      <c r="A49" s="688"/>
      <c r="B49" s="1021"/>
      <c r="C49" s="1019"/>
      <c r="D49" s="1019"/>
      <c r="E49" s="1019"/>
      <c r="F49" s="1019"/>
      <c r="G49" s="688"/>
      <c r="H49" s="688"/>
      <c r="I49" s="688"/>
      <c r="J49" s="688"/>
      <c r="K49" s="688"/>
      <c r="L49" s="688"/>
      <c r="M49" s="688"/>
      <c r="N49" s="688"/>
      <c r="O49" s="688"/>
      <c r="P49" s="688"/>
      <c r="Q49" s="688"/>
      <c r="R49" s="301"/>
    </row>
    <row r="50" spans="1:18" ht="15" customHeight="1" x14ac:dyDescent="0.3">
      <c r="A50" s="688"/>
      <c r="B50" s="1021"/>
      <c r="C50" s="1019"/>
      <c r="D50" s="1019"/>
      <c r="E50" s="1019"/>
      <c r="F50" s="1019"/>
      <c r="G50" s="688"/>
      <c r="H50" s="688"/>
      <c r="I50" s="688"/>
      <c r="J50" s="688"/>
      <c r="K50" s="688"/>
      <c r="L50" s="688"/>
      <c r="M50" s="688"/>
      <c r="N50" s="688"/>
      <c r="O50" s="688"/>
      <c r="P50" s="688"/>
      <c r="Q50" s="688"/>
      <c r="R50" s="301"/>
    </row>
    <row r="51" spans="1:18" ht="15" customHeight="1" x14ac:dyDescent="0.3">
      <c r="A51" s="688"/>
      <c r="B51" s="1021"/>
      <c r="C51" s="1019"/>
      <c r="D51" s="1019"/>
      <c r="E51" s="1019"/>
      <c r="F51" s="1019"/>
      <c r="G51" s="688"/>
      <c r="H51" s="688"/>
      <c r="I51" s="688"/>
      <c r="J51" s="688"/>
      <c r="K51" s="688"/>
      <c r="L51" s="688"/>
      <c r="M51" s="688"/>
      <c r="N51" s="688"/>
      <c r="O51" s="688"/>
      <c r="P51" s="688"/>
      <c r="Q51" s="688"/>
      <c r="R51" s="301"/>
    </row>
    <row r="52" spans="1:18" ht="15" customHeight="1" x14ac:dyDescent="0.3">
      <c r="A52" s="688"/>
      <c r="B52" s="1021"/>
      <c r="C52" s="1019"/>
      <c r="D52" s="1019"/>
      <c r="E52" s="1019"/>
      <c r="F52" s="1019"/>
      <c r="G52" s="688"/>
      <c r="H52" s="688"/>
      <c r="I52" s="688"/>
      <c r="J52" s="688"/>
      <c r="K52" s="688"/>
      <c r="L52" s="688"/>
      <c r="M52" s="688"/>
      <c r="N52" s="688"/>
      <c r="O52" s="688"/>
      <c r="P52" s="688"/>
      <c r="Q52" s="688"/>
      <c r="R52" s="301"/>
    </row>
    <row r="53" spans="1:18" ht="15" customHeight="1" x14ac:dyDescent="0.3">
      <c r="A53" s="688"/>
      <c r="B53" s="1021"/>
      <c r="C53" s="1019"/>
      <c r="D53" s="1019"/>
      <c r="E53" s="1019"/>
      <c r="F53" s="1019"/>
      <c r="G53" s="688"/>
      <c r="H53" s="688"/>
      <c r="I53" s="688"/>
      <c r="J53" s="688"/>
      <c r="K53" s="688"/>
      <c r="L53" s="688"/>
      <c r="M53" s="688"/>
      <c r="N53" s="688"/>
      <c r="O53" s="688"/>
      <c r="P53" s="688"/>
      <c r="Q53" s="688"/>
      <c r="R53" s="301"/>
    </row>
    <row r="54" spans="1:18" ht="15" customHeight="1" x14ac:dyDescent="0.3">
      <c r="A54" s="688"/>
      <c r="B54" s="1021"/>
      <c r="C54" s="1019"/>
      <c r="D54" s="1019"/>
      <c r="E54" s="1019"/>
      <c r="F54" s="1019"/>
      <c r="G54" s="688"/>
      <c r="H54" s="688"/>
      <c r="I54" s="688"/>
      <c r="J54" s="688"/>
      <c r="K54" s="688"/>
      <c r="L54" s="688"/>
      <c r="M54" s="688"/>
      <c r="N54" s="688"/>
      <c r="O54" s="688"/>
      <c r="P54" s="688"/>
      <c r="Q54" s="688"/>
      <c r="R54" s="301"/>
    </row>
    <row r="55" spans="1:18" ht="15" customHeight="1" x14ac:dyDescent="0.3">
      <c r="A55" s="688"/>
      <c r="B55" s="1021"/>
      <c r="C55" s="1019"/>
      <c r="D55" s="1019"/>
      <c r="E55" s="1019"/>
      <c r="F55" s="1019"/>
      <c r="G55" s="688"/>
      <c r="H55" s="688"/>
      <c r="I55" s="688"/>
      <c r="J55" s="688"/>
      <c r="K55" s="688"/>
      <c r="L55" s="688"/>
      <c r="M55" s="688"/>
      <c r="N55" s="688"/>
      <c r="O55" s="688"/>
      <c r="P55" s="688"/>
      <c r="Q55" s="688"/>
      <c r="R55" s="301"/>
    </row>
    <row r="56" spans="1:18" ht="15" customHeight="1" x14ac:dyDescent="0.3">
      <c r="A56" s="688"/>
      <c r="B56" s="1021"/>
      <c r="C56" s="1019"/>
      <c r="D56" s="1019"/>
      <c r="E56" s="1019"/>
      <c r="F56" s="1019"/>
      <c r="G56" s="688"/>
      <c r="H56" s="688"/>
      <c r="I56" s="688"/>
      <c r="J56" s="688"/>
      <c r="K56" s="688"/>
      <c r="L56" s="688"/>
      <c r="M56" s="688"/>
      <c r="N56" s="688"/>
      <c r="O56" s="688"/>
      <c r="P56" s="688"/>
      <c r="Q56" s="688"/>
      <c r="R56" s="301"/>
    </row>
    <row r="57" spans="1:18" ht="15" customHeight="1" x14ac:dyDescent="0.3">
      <c r="A57" s="688"/>
      <c r="B57" s="1021"/>
      <c r="C57" s="1019"/>
      <c r="D57" s="1019"/>
      <c r="E57" s="1019"/>
      <c r="F57" s="1019"/>
      <c r="G57" s="688"/>
      <c r="H57" s="688"/>
      <c r="I57" s="688"/>
      <c r="J57" s="688"/>
      <c r="K57" s="688"/>
      <c r="L57" s="688"/>
      <c r="M57" s="688"/>
      <c r="N57" s="688"/>
      <c r="O57" s="688"/>
      <c r="P57" s="688"/>
      <c r="Q57" s="688"/>
      <c r="R57" s="301"/>
    </row>
    <row r="58" spans="1:18" ht="15" customHeight="1" x14ac:dyDescent="0.3">
      <c r="A58" s="688"/>
      <c r="B58" s="1021"/>
      <c r="C58" s="1019"/>
      <c r="D58" s="1019"/>
      <c r="E58" s="1019"/>
      <c r="F58" s="1019"/>
      <c r="G58" s="688"/>
      <c r="H58" s="688"/>
      <c r="I58" s="688"/>
      <c r="J58" s="688"/>
      <c r="K58" s="688"/>
      <c r="L58" s="688"/>
      <c r="M58" s="688"/>
      <c r="N58" s="688"/>
      <c r="O58" s="688"/>
      <c r="P58" s="688"/>
      <c r="Q58" s="688"/>
      <c r="R58" s="301"/>
    </row>
    <row r="59" spans="1:18" ht="15" customHeight="1" x14ac:dyDescent="0.3">
      <c r="A59" s="688"/>
      <c r="B59" s="1021"/>
      <c r="C59" s="1019"/>
      <c r="D59" s="1019"/>
      <c r="E59" s="1019"/>
      <c r="F59" s="1019"/>
      <c r="G59" s="688"/>
      <c r="H59" s="688"/>
      <c r="I59" s="688"/>
      <c r="J59" s="688"/>
      <c r="K59" s="688"/>
      <c r="L59" s="688"/>
      <c r="M59" s="688"/>
      <c r="N59" s="688"/>
      <c r="O59" s="688"/>
      <c r="P59" s="688"/>
      <c r="Q59" s="688"/>
      <c r="R59" s="301"/>
    </row>
    <row r="60" spans="1:18" ht="15" customHeight="1" x14ac:dyDescent="0.3">
      <c r="A60" s="688"/>
      <c r="B60" s="1021"/>
      <c r="C60" s="1019"/>
      <c r="D60" s="1019"/>
      <c r="E60" s="1019"/>
      <c r="F60" s="1019"/>
      <c r="G60" s="688"/>
      <c r="H60" s="688"/>
      <c r="I60" s="688"/>
      <c r="J60" s="688"/>
      <c r="K60" s="688"/>
      <c r="L60" s="688"/>
      <c r="M60" s="688"/>
      <c r="N60" s="688"/>
      <c r="O60" s="688"/>
      <c r="P60" s="688"/>
      <c r="Q60" s="688"/>
      <c r="R60" s="301"/>
    </row>
    <row r="61" spans="1:18" ht="15" customHeight="1" x14ac:dyDescent="0.3">
      <c r="A61" s="688"/>
      <c r="B61" s="1021"/>
      <c r="C61" s="1019"/>
      <c r="D61" s="1019"/>
      <c r="E61" s="1019"/>
      <c r="F61" s="1019"/>
      <c r="G61" s="688"/>
      <c r="H61" s="688"/>
      <c r="I61" s="688"/>
      <c r="J61" s="688"/>
      <c r="K61" s="688"/>
      <c r="L61" s="688"/>
      <c r="M61" s="688"/>
      <c r="N61" s="688"/>
      <c r="O61" s="688"/>
      <c r="P61" s="688"/>
      <c r="Q61" s="688"/>
      <c r="R61" s="301"/>
    </row>
    <row r="62" spans="1:18" ht="15" customHeight="1" x14ac:dyDescent="0.3">
      <c r="A62" s="688"/>
      <c r="B62" s="1021"/>
      <c r="C62" s="1019"/>
      <c r="D62" s="1019"/>
      <c r="E62" s="1019"/>
      <c r="F62" s="1019"/>
      <c r="G62" s="688"/>
      <c r="H62" s="688"/>
      <c r="I62" s="688"/>
      <c r="J62" s="688"/>
      <c r="K62" s="688"/>
      <c r="L62" s="688"/>
      <c r="M62" s="688"/>
      <c r="N62" s="688"/>
      <c r="O62" s="688"/>
      <c r="P62" s="688"/>
      <c r="Q62" s="688"/>
      <c r="R62" s="301"/>
    </row>
    <row r="63" spans="1:18" ht="15" customHeight="1" x14ac:dyDescent="0.3">
      <c r="A63" s="688"/>
      <c r="B63" s="1021"/>
      <c r="C63" s="1019"/>
      <c r="D63" s="1019"/>
      <c r="E63" s="1019"/>
      <c r="F63" s="1019"/>
      <c r="G63" s="688"/>
      <c r="H63" s="688"/>
      <c r="I63" s="688"/>
      <c r="J63" s="688"/>
      <c r="K63" s="688"/>
      <c r="L63" s="688"/>
      <c r="M63" s="688"/>
      <c r="N63" s="688"/>
      <c r="O63" s="688"/>
      <c r="P63" s="688"/>
      <c r="Q63" s="688"/>
      <c r="R63" s="301"/>
    </row>
    <row r="64" spans="1:18" ht="15" customHeight="1" x14ac:dyDescent="0.3">
      <c r="A64" s="688"/>
      <c r="B64" s="1021"/>
      <c r="C64" s="1019"/>
      <c r="D64" s="1019"/>
      <c r="E64" s="1019"/>
      <c r="F64" s="1019"/>
      <c r="G64" s="688"/>
      <c r="H64" s="688"/>
      <c r="I64" s="688"/>
      <c r="J64" s="688"/>
      <c r="K64" s="688"/>
      <c r="L64" s="688"/>
      <c r="M64" s="688"/>
      <c r="N64" s="688"/>
      <c r="O64" s="688"/>
      <c r="P64" s="688"/>
      <c r="Q64" s="688"/>
      <c r="R64" s="301"/>
    </row>
    <row r="65" spans="1:18" ht="15" customHeight="1" x14ac:dyDescent="0.3">
      <c r="A65" s="688"/>
      <c r="B65" s="1021"/>
      <c r="C65" s="1019"/>
      <c r="D65" s="1019"/>
      <c r="E65" s="1019"/>
      <c r="F65" s="1019"/>
      <c r="G65" s="688"/>
      <c r="H65" s="688"/>
      <c r="I65" s="688"/>
      <c r="J65" s="688"/>
      <c r="K65" s="688"/>
      <c r="L65" s="688"/>
      <c r="M65" s="688"/>
      <c r="N65" s="688"/>
      <c r="O65" s="688"/>
      <c r="P65" s="688"/>
      <c r="Q65" s="688"/>
      <c r="R65" s="301"/>
    </row>
    <row r="66" spans="1:18" ht="18.75" customHeight="1" x14ac:dyDescent="0.3">
      <c r="A66" s="688"/>
      <c r="B66" s="1228"/>
      <c r="C66" s="1228"/>
      <c r="D66" s="1228"/>
      <c r="E66" s="1228"/>
      <c r="F66" s="1019"/>
      <c r="G66" s="688"/>
      <c r="H66" s="688"/>
      <c r="I66" s="688"/>
      <c r="J66" s="688"/>
      <c r="K66" s="688"/>
      <c r="L66" s="688"/>
      <c r="M66" s="688"/>
      <c r="N66" s="688"/>
      <c r="O66" s="688"/>
      <c r="P66" s="688"/>
      <c r="Q66" s="688"/>
      <c r="R66" s="301"/>
    </row>
    <row r="67" spans="1:18" ht="15" customHeight="1" x14ac:dyDescent="0.3">
      <c r="A67" s="688"/>
      <c r="B67" s="1026"/>
      <c r="C67" s="1019"/>
      <c r="D67" s="1019"/>
      <c r="E67" s="1019"/>
      <c r="F67" s="1019"/>
      <c r="G67" s="688"/>
      <c r="H67" s="688"/>
      <c r="I67" s="688"/>
      <c r="J67" s="688"/>
      <c r="K67" s="688"/>
      <c r="L67" s="688"/>
      <c r="M67" s="688"/>
      <c r="N67" s="688"/>
      <c r="O67" s="688"/>
      <c r="P67" s="688"/>
      <c r="Q67" s="688"/>
      <c r="R67" s="301"/>
    </row>
    <row r="68" spans="1:18" ht="15" customHeight="1" x14ac:dyDescent="0.3">
      <c r="A68" s="688"/>
      <c r="B68" s="1021"/>
      <c r="C68" s="1019"/>
      <c r="D68" s="1019"/>
      <c r="E68" s="1019"/>
      <c r="F68" s="1019"/>
      <c r="G68" s="688"/>
      <c r="H68" s="688"/>
      <c r="I68" s="688"/>
      <c r="J68" s="688"/>
      <c r="K68" s="688"/>
      <c r="L68" s="688"/>
      <c r="M68" s="688"/>
      <c r="N68" s="688"/>
      <c r="O68" s="688"/>
      <c r="P68" s="688"/>
      <c r="Q68" s="688"/>
      <c r="R68" s="301"/>
    </row>
    <row r="69" spans="1:18" x14ac:dyDescent="0.25">
      <c r="A69" s="688"/>
      <c r="B69" s="1026"/>
      <c r="C69" s="686"/>
      <c r="D69" s="686"/>
      <c r="E69" s="686"/>
      <c r="F69" s="686"/>
      <c r="G69" s="686"/>
      <c r="H69" s="686"/>
      <c r="I69" s="686"/>
      <c r="J69" s="686"/>
      <c r="K69" s="686"/>
      <c r="L69" s="686"/>
      <c r="M69" s="686"/>
      <c r="N69" s="686"/>
      <c r="O69" s="686"/>
      <c r="P69" s="686"/>
      <c r="Q69" s="686"/>
      <c r="R69" s="301"/>
    </row>
    <row r="70" spans="1:18" ht="21" x14ac:dyDescent="0.35">
      <c r="A70" s="688"/>
      <c r="B70" s="1020" t="s">
        <v>1277</v>
      </c>
      <c r="C70" s="686"/>
      <c r="D70" s="686"/>
      <c r="E70" s="686"/>
      <c r="F70" s="686"/>
      <c r="G70" s="686"/>
      <c r="H70" s="686"/>
      <c r="I70" s="686"/>
      <c r="J70" s="686"/>
      <c r="K70" s="686"/>
      <c r="L70" s="686"/>
      <c r="M70" s="686"/>
      <c r="N70" s="686"/>
      <c r="O70" s="686"/>
      <c r="P70" s="686"/>
      <c r="Q70" s="686"/>
      <c r="R70" s="301"/>
    </row>
    <row r="71" spans="1:18" ht="9" customHeight="1" x14ac:dyDescent="0.3">
      <c r="A71" s="688"/>
      <c r="B71" s="1027"/>
      <c r="C71" s="686"/>
      <c r="D71" s="686"/>
      <c r="E71" s="686"/>
      <c r="F71" s="686"/>
      <c r="G71" s="686"/>
      <c r="H71" s="686"/>
      <c r="I71" s="686"/>
      <c r="J71" s="686"/>
      <c r="K71" s="686"/>
      <c r="L71" s="686"/>
      <c r="M71" s="686"/>
      <c r="N71" s="686"/>
      <c r="O71" s="686"/>
      <c r="P71" s="686"/>
      <c r="Q71" s="686"/>
      <c r="R71" s="301"/>
    </row>
    <row r="72" spans="1:18" ht="14.25" customHeight="1" x14ac:dyDescent="0.25">
      <c r="A72" s="688"/>
      <c r="B72" s="1026" t="s">
        <v>569</v>
      </c>
      <c r="C72" s="1026"/>
      <c r="D72" s="1026"/>
      <c r="E72" s="1026"/>
      <c r="F72" s="1026"/>
      <c r="G72" s="1028" t="s">
        <v>570</v>
      </c>
      <c r="H72" s="1029"/>
      <c r="I72" s="1026"/>
      <c r="J72" s="1026"/>
      <c r="K72" s="1026"/>
      <c r="L72" s="1026"/>
      <c r="M72" s="1026"/>
      <c r="N72" s="1026"/>
      <c r="O72" s="1026"/>
      <c r="P72" s="1026"/>
      <c r="Q72" s="686"/>
      <c r="R72" s="301"/>
    </row>
    <row r="73" spans="1:18" x14ac:dyDescent="0.25">
      <c r="A73" s="688"/>
      <c r="B73" s="1030"/>
      <c r="C73" s="1030"/>
      <c r="D73" s="1030"/>
      <c r="E73" s="1030"/>
      <c r="F73" s="1030"/>
      <c r="G73" s="1030"/>
      <c r="H73" s="1030"/>
      <c r="I73" s="1030"/>
      <c r="J73" s="1030"/>
      <c r="K73" s="1030"/>
      <c r="L73" s="1030"/>
      <c r="M73" s="1030"/>
      <c r="N73" s="1030"/>
      <c r="O73" s="1030"/>
      <c r="P73" s="1030"/>
      <c r="Q73" s="686"/>
      <c r="R73" s="301"/>
    </row>
    <row r="74" spans="1:18" hidden="1" x14ac:dyDescent="0.25"/>
    <row r="75" spans="1:18" hidden="1" x14ac:dyDescent="0.25"/>
    <row r="76" spans="1:18" hidden="1" x14ac:dyDescent="0.25"/>
    <row r="77" spans="1:18" hidden="1" x14ac:dyDescent="0.25"/>
    <row r="78" spans="1:18" hidden="1" x14ac:dyDescent="0.25"/>
    <row r="79" spans="1:18" hidden="1" x14ac:dyDescent="0.25"/>
    <row r="80" spans="1:18"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sheetData>
  <sheetProtection algorithmName="SHA-512" hashValue="mH9ifALOIrlf5YsyMou871I4eRjCIV2oynPBGcaL/nywfBpK8JL4X39n/1c0RuATn/86TuYVqkI32/e42JcoBA==" saltValue="k8JawJa6ejNowlmDly31kw==" spinCount="100000" sheet="1" objects="1" scenarios="1"/>
  <mergeCells count="22">
    <mergeCell ref="J1:Q1"/>
    <mergeCell ref="B25:C25"/>
    <mergeCell ref="D25:E25"/>
    <mergeCell ref="F25:G25"/>
    <mergeCell ref="H25:I25"/>
    <mergeCell ref="J25:K25"/>
    <mergeCell ref="B18:K18"/>
    <mergeCell ref="B19:K19"/>
    <mergeCell ref="B20:K20"/>
    <mergeCell ref="B21:K21"/>
    <mergeCell ref="B24:C24"/>
    <mergeCell ref="D24:E24"/>
    <mergeCell ref="F24:G24"/>
    <mergeCell ref="H24:I24"/>
    <mergeCell ref="J24:K24"/>
    <mergeCell ref="A1:I1"/>
    <mergeCell ref="B66:E66"/>
    <mergeCell ref="B4:E4"/>
    <mergeCell ref="B2:E2"/>
    <mergeCell ref="B3:E3"/>
    <mergeCell ref="J2:K2"/>
    <mergeCell ref="B17:K17"/>
  </mergeCells>
  <hyperlinks>
    <hyperlink ref="B3" location="Instructions!B16" tooltip="How to use this tool?" display="2. How to use this tool?"/>
    <hyperlink ref="B2" location="Instructions!B8" tooltip="General" display="1. General"/>
    <hyperlink ref="G72" r:id="rId1"/>
    <hyperlink ref="B3:E3" location="Instructions!B15" tooltip="How to use this Tool?" display="2. How to use this Tool?"/>
    <hyperlink ref="B4:E4" location="Instructions!B70" tooltip="Enquiries" display="3. Enquiries"/>
    <hyperlink ref="B2:E2" location="Instructions!B7" tooltip="General" display="1. General"/>
  </hyperlinks>
  <pageMargins left="0.7" right="0.7" top="0.75" bottom="0.75" header="0.3" footer="0.3"/>
  <pageSetup paperSize="9" orientation="portrait" r:id="rId2"/>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76923C"/>
  </sheetPr>
  <dimension ref="A1:Q62"/>
  <sheetViews>
    <sheetView showRowColHeaders="0" zoomScale="90" zoomScaleNormal="90" workbookViewId="0">
      <selection activeCell="E13" sqref="E13:F13"/>
    </sheetView>
  </sheetViews>
  <sheetFormatPr defaultColWidth="0" defaultRowHeight="0" customHeight="1" zeroHeight="1" x14ac:dyDescent="0.25"/>
  <cols>
    <col min="1" max="1" width="5.7109375" customWidth="1"/>
    <col min="2" max="2" width="31.7109375" customWidth="1"/>
    <col min="3" max="3" width="3.7109375" customWidth="1"/>
    <col min="4" max="4" width="11.7109375" customWidth="1"/>
    <col min="5" max="6" width="20.5703125" customWidth="1"/>
    <col min="7" max="8" width="19.7109375" customWidth="1"/>
    <col min="9" max="9" width="8.7109375" customWidth="1"/>
    <col min="10" max="10" width="8" customWidth="1"/>
    <col min="11" max="11" width="5" customWidth="1"/>
    <col min="12" max="12" width="3.5703125" customWidth="1"/>
    <col min="13" max="17" width="0" hidden="1" customWidth="1"/>
    <col min="18" max="16384" width="9.140625" hidden="1"/>
  </cols>
  <sheetData>
    <row r="1" spans="1:12" ht="39" customHeight="1" x14ac:dyDescent="0.25">
      <c r="A1" s="46"/>
      <c r="B1" s="1967" t="s">
        <v>0</v>
      </c>
      <c r="C1" s="291"/>
      <c r="D1" s="1"/>
      <c r="E1" s="1"/>
      <c r="F1" s="1"/>
      <c r="G1" s="1"/>
      <c r="H1" s="1"/>
      <c r="I1" s="1"/>
      <c r="J1" s="1"/>
      <c r="K1" s="1"/>
      <c r="L1" s="1"/>
    </row>
    <row r="2" spans="1:12" ht="22.5" customHeight="1" x14ac:dyDescent="0.25">
      <c r="A2" s="46"/>
      <c r="B2" s="1967"/>
      <c r="C2" s="291"/>
      <c r="D2" s="1"/>
      <c r="E2" s="1"/>
      <c r="F2" s="1"/>
      <c r="G2" s="1"/>
      <c r="H2" s="1"/>
      <c r="I2" s="1"/>
      <c r="J2" s="1"/>
      <c r="K2" s="1"/>
      <c r="L2" s="1"/>
    </row>
    <row r="3" spans="1:12" ht="21" customHeight="1" x14ac:dyDescent="0.25">
      <c r="A3" s="46"/>
      <c r="B3" s="1967"/>
      <c r="C3" s="291"/>
      <c r="D3" s="1"/>
      <c r="E3" s="1969" t="s">
        <v>391</v>
      </c>
      <c r="F3" s="1970"/>
      <c r="G3" s="1964" t="s">
        <v>392</v>
      </c>
      <c r="H3" s="1964" t="s">
        <v>56</v>
      </c>
      <c r="I3" s="1"/>
      <c r="J3" s="1"/>
      <c r="K3" s="1"/>
      <c r="L3" s="1"/>
    </row>
    <row r="4" spans="1:12" ht="15" customHeight="1" x14ac:dyDescent="0.25">
      <c r="A4" s="46"/>
      <c r="B4" s="46"/>
      <c r="C4" s="46"/>
      <c r="D4" s="1"/>
      <c r="E4" s="1971"/>
      <c r="F4" s="1972"/>
      <c r="G4" s="1964"/>
      <c r="H4" s="1964"/>
      <c r="I4" s="1"/>
      <c r="J4" s="1"/>
      <c r="K4" s="1"/>
      <c r="L4" s="1"/>
    </row>
    <row r="5" spans="1:12" ht="21.75" customHeight="1" x14ac:dyDescent="0.25">
      <c r="A5" s="46"/>
      <c r="B5" s="1968" t="str">
        <f>IF(A1="","To protect the ecology of the site of the building and surrounding area, to encourage recycling practices, and to integrate adaptation and mitigation strategies.","")</f>
        <v>To protect the ecology of the site of the building and surrounding area, to encourage recycling practices, and to integrate adaptation and mitigation strategies.</v>
      </c>
      <c r="C5" s="292"/>
      <c r="D5" s="1"/>
      <c r="E5" s="1965" t="s">
        <v>1</v>
      </c>
      <c r="F5" s="1966"/>
      <c r="G5" s="183">
        <v>5</v>
      </c>
      <c r="H5" s="183">
        <f>SUM('LE-1 Site Selection'!G12:G15)</f>
        <v>0</v>
      </c>
      <c r="I5" s="1"/>
      <c r="J5" s="1"/>
      <c r="K5" s="1"/>
      <c r="L5" s="1"/>
    </row>
    <row r="6" spans="1:12" ht="21.75" customHeight="1" x14ac:dyDescent="0.25">
      <c r="A6" s="46"/>
      <c r="B6" s="1968"/>
      <c r="C6" s="292"/>
      <c r="D6" s="1"/>
      <c r="E6" s="1965" t="s">
        <v>329</v>
      </c>
      <c r="F6" s="1966"/>
      <c r="G6" s="183">
        <v>2</v>
      </c>
      <c r="H6" s="183">
        <f>SUM('LE-2 Site design'!G12:G13)</f>
        <v>0</v>
      </c>
      <c r="I6" s="1"/>
      <c r="J6" s="1"/>
      <c r="K6" s="1"/>
      <c r="L6" s="1"/>
    </row>
    <row r="7" spans="1:12" ht="21.75" customHeight="1" x14ac:dyDescent="0.25">
      <c r="A7" s="46"/>
      <c r="B7" s="1968"/>
      <c r="C7" s="292"/>
      <c r="D7" s="1"/>
      <c r="E7" s="1965" t="s">
        <v>4</v>
      </c>
      <c r="F7" s="1966"/>
      <c r="G7" s="183">
        <v>2</v>
      </c>
      <c r="H7" s="183">
        <f>'LE-3 Vegetation'!G14</f>
        <v>0</v>
      </c>
      <c r="I7" s="1"/>
      <c r="J7" s="1"/>
      <c r="K7" s="1"/>
      <c r="L7" s="1"/>
    </row>
    <row r="8" spans="1:12" ht="21.75" customHeight="1" x14ac:dyDescent="0.25">
      <c r="A8" s="120"/>
      <c r="B8" s="1968"/>
      <c r="C8" s="292"/>
      <c r="D8" s="1"/>
      <c r="E8" s="1965" t="s">
        <v>5</v>
      </c>
      <c r="F8" s="1966"/>
      <c r="G8" s="183">
        <v>2</v>
      </c>
      <c r="H8" s="183">
        <f>'LE-4 Heat Island Effect'!G12</f>
        <v>0</v>
      </c>
      <c r="I8" s="1"/>
      <c r="J8" s="1"/>
      <c r="K8" s="1"/>
      <c r="L8" s="1"/>
    </row>
    <row r="9" spans="1:12" ht="21.75" customHeight="1" x14ac:dyDescent="0.25">
      <c r="A9" s="120"/>
      <c r="B9" s="1968"/>
      <c r="C9" s="292"/>
      <c r="D9" s="1"/>
      <c r="E9" s="1965" t="s">
        <v>251</v>
      </c>
      <c r="F9" s="1966"/>
      <c r="G9" s="183">
        <v>2</v>
      </c>
      <c r="H9" s="183">
        <f>'LE-5 Storm Water Runoff'!G12</f>
        <v>0</v>
      </c>
      <c r="I9" s="3"/>
      <c r="J9" s="3"/>
      <c r="K9" s="3"/>
      <c r="L9" s="3"/>
    </row>
    <row r="10" spans="1:12" ht="21.75" customHeight="1" x14ac:dyDescent="0.25">
      <c r="A10" s="120"/>
      <c r="B10" s="1968"/>
      <c r="C10" s="292"/>
      <c r="D10" s="1"/>
      <c r="E10" s="1965" t="s">
        <v>250</v>
      </c>
      <c r="F10" s="1966"/>
      <c r="G10" s="183">
        <v>1</v>
      </c>
      <c r="H10" s="183">
        <f>'LE-6 Flood Risk Mitigation'!G12</f>
        <v>0</v>
      </c>
      <c r="I10" s="3"/>
      <c r="J10" s="1"/>
      <c r="K10" s="1"/>
      <c r="L10" s="1"/>
    </row>
    <row r="11" spans="1:12" ht="21.75" customHeight="1" x14ac:dyDescent="0.25">
      <c r="A11" s="120"/>
      <c r="B11" s="1968"/>
      <c r="C11" s="292"/>
      <c r="D11" s="1"/>
      <c r="E11" s="1965" t="s">
        <v>119</v>
      </c>
      <c r="F11" s="1966"/>
      <c r="G11" s="183">
        <v>1</v>
      </c>
      <c r="H11" s="183">
        <f>'LE-7 Refrigerants'!G12</f>
        <v>0</v>
      </c>
      <c r="I11" s="3"/>
      <c r="J11" s="1"/>
      <c r="K11" s="1"/>
      <c r="L11" s="1"/>
    </row>
    <row r="12" spans="1:12" ht="21.75" customHeight="1" x14ac:dyDescent="0.25">
      <c r="A12" s="120"/>
      <c r="B12" s="1968"/>
      <c r="C12" s="292"/>
      <c r="D12" s="1"/>
      <c r="E12" s="1965" t="s">
        <v>162</v>
      </c>
      <c r="F12" s="1966"/>
      <c r="G12" s="183">
        <v>1</v>
      </c>
      <c r="H12" s="183">
        <f>'LE-8 Waste Management'!G12</f>
        <v>0</v>
      </c>
      <c r="I12" s="3"/>
      <c r="J12" s="1"/>
      <c r="K12" s="1"/>
      <c r="L12" s="1"/>
    </row>
    <row r="13" spans="1:12" ht="21.75" customHeight="1" x14ac:dyDescent="0.25">
      <c r="A13" s="120"/>
      <c r="B13" s="1968"/>
      <c r="C13" s="292"/>
      <c r="D13" s="1"/>
      <c r="E13" s="1965" t="s">
        <v>688</v>
      </c>
      <c r="F13" s="1966"/>
      <c r="G13" s="183">
        <v>1</v>
      </c>
      <c r="H13" s="183">
        <f>'LE BPC'!G12</f>
        <v>0</v>
      </c>
      <c r="I13" s="1"/>
      <c r="J13" s="1"/>
      <c r="K13" s="1"/>
      <c r="L13" s="1"/>
    </row>
    <row r="14" spans="1:12" ht="23.25" customHeight="1" x14ac:dyDescent="0.25">
      <c r="A14" s="120"/>
      <c r="B14" s="266"/>
      <c r="C14" s="266"/>
      <c r="D14" s="1"/>
      <c r="E14" s="121" t="s">
        <v>82</v>
      </c>
      <c r="F14" s="122"/>
      <c r="G14" s="123">
        <f>SUM(G5:G13)</f>
        <v>17</v>
      </c>
      <c r="H14" s="123">
        <f>SUM(H5:H13)</f>
        <v>0</v>
      </c>
      <c r="I14" s="1"/>
      <c r="J14" s="1"/>
      <c r="K14" s="1"/>
      <c r="L14" s="1"/>
    </row>
    <row r="15" spans="1:12" ht="15" customHeight="1" x14ac:dyDescent="0.25">
      <c r="A15" s="120"/>
      <c r="B15" s="266"/>
      <c r="C15" s="266"/>
      <c r="D15" s="1"/>
      <c r="E15" s="1"/>
      <c r="F15" s="1"/>
      <c r="G15" s="1"/>
      <c r="H15" s="1"/>
      <c r="I15" s="1"/>
      <c r="J15" s="1"/>
      <c r="K15" s="1"/>
      <c r="L15" s="1"/>
    </row>
    <row r="16" spans="1:12" ht="15" customHeight="1" x14ac:dyDescent="0.25">
      <c r="A16" s="120"/>
      <c r="B16" s="266"/>
      <c r="C16" s="266"/>
      <c r="D16" s="1"/>
      <c r="E16" s="1"/>
      <c r="F16" s="1"/>
      <c r="G16" s="1"/>
      <c r="H16" s="1"/>
      <c r="I16" s="1"/>
      <c r="J16" s="1"/>
      <c r="K16" s="1"/>
      <c r="L16" s="1"/>
    </row>
    <row r="17" spans="1:12" ht="15" customHeight="1" x14ac:dyDescent="0.25">
      <c r="A17" s="120"/>
      <c r="B17" s="266"/>
      <c r="C17" s="266"/>
      <c r="D17" s="1"/>
      <c r="E17" s="1"/>
      <c r="F17" s="1"/>
      <c r="G17" s="1"/>
      <c r="H17" s="1"/>
      <c r="I17" s="1"/>
      <c r="J17" s="1"/>
      <c r="K17" s="1"/>
      <c r="L17" s="1"/>
    </row>
    <row r="18" spans="1:12" ht="15" hidden="1" customHeight="1" x14ac:dyDescent="0.25">
      <c r="A18" s="120"/>
      <c r="B18" s="266"/>
      <c r="C18" s="266"/>
      <c r="D18" s="1"/>
      <c r="E18" s="1"/>
      <c r="F18" s="1"/>
      <c r="G18" s="1"/>
      <c r="H18" s="1"/>
      <c r="I18" s="1"/>
      <c r="J18" s="1"/>
      <c r="K18" s="1"/>
      <c r="L18" s="1"/>
    </row>
    <row r="19" spans="1:12" ht="15" hidden="1" customHeight="1" x14ac:dyDescent="0.25">
      <c r="A19" s="120"/>
      <c r="B19" s="266"/>
      <c r="C19" s="266"/>
      <c r="D19" s="1"/>
      <c r="E19" s="1"/>
      <c r="F19" s="1"/>
      <c r="G19" s="1"/>
      <c r="H19" s="1"/>
      <c r="I19" s="1"/>
      <c r="J19" s="1"/>
      <c r="K19" s="1"/>
      <c r="L19" s="1"/>
    </row>
    <row r="20" spans="1:12" ht="15" hidden="1" customHeight="1" x14ac:dyDescent="0.25">
      <c r="A20" s="120"/>
      <c r="B20" s="266"/>
      <c r="C20" s="266"/>
      <c r="D20" s="1"/>
      <c r="E20" s="1"/>
      <c r="F20" s="1"/>
      <c r="G20" s="1"/>
      <c r="H20" s="1"/>
      <c r="I20" s="1"/>
      <c r="J20" s="1"/>
      <c r="K20" s="1"/>
      <c r="L20" s="1"/>
    </row>
    <row r="21" spans="1:12" ht="15" hidden="1" customHeight="1" x14ac:dyDescent="0.25">
      <c r="A21" s="120"/>
      <c r="B21" s="266"/>
      <c r="C21" s="266"/>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E42" s="1"/>
      <c r="F42" s="1"/>
      <c r="G42" s="1"/>
      <c r="H42" s="1"/>
      <c r="I42" s="1"/>
      <c r="J42" s="1"/>
      <c r="K42" s="1"/>
      <c r="L42" s="1"/>
    </row>
    <row r="43" spans="1:12" ht="15" hidden="1" customHeight="1" x14ac:dyDescent="0.25">
      <c r="A43" s="1"/>
      <c r="B43" s="2"/>
      <c r="C43" s="2"/>
      <c r="D43" s="1"/>
      <c r="E43" s="1"/>
      <c r="F43" s="1"/>
      <c r="G43" s="1"/>
      <c r="H43" s="1"/>
      <c r="I43" s="1"/>
      <c r="J43" s="1"/>
      <c r="K43" s="1"/>
      <c r="L43" s="1"/>
    </row>
    <row r="44" spans="1:12" ht="15" hidden="1" customHeight="1" x14ac:dyDescent="0.25">
      <c r="A44" s="1"/>
      <c r="B44" s="2"/>
      <c r="C44" s="2"/>
      <c r="D44" s="1"/>
      <c r="E44" s="1"/>
      <c r="F44" s="1"/>
      <c r="G44" s="1"/>
      <c r="H44" s="1"/>
      <c r="I44" s="1"/>
      <c r="J44" s="1"/>
      <c r="K44" s="1"/>
      <c r="L44" s="1"/>
    </row>
    <row r="45" spans="1:12" ht="15" hidden="1" customHeight="1" x14ac:dyDescent="0.25">
      <c r="A45" s="1"/>
      <c r="B45" s="2"/>
      <c r="C45" s="2"/>
      <c r="D45" s="1"/>
      <c r="E45" s="1"/>
      <c r="F45" s="1"/>
      <c r="G45" s="1"/>
      <c r="H45" s="1"/>
      <c r="I45" s="1"/>
      <c r="J45" s="1"/>
      <c r="K45" s="1"/>
      <c r="L45" s="1"/>
    </row>
    <row r="46" spans="1:12" ht="15" hidden="1" customHeight="1" x14ac:dyDescent="0.25">
      <c r="A46" s="1"/>
      <c r="B46" s="2"/>
      <c r="C46" s="2"/>
      <c r="D46" s="1"/>
      <c r="E46" s="1"/>
      <c r="F46" s="1"/>
      <c r="G46" s="1"/>
      <c r="H46" s="1"/>
      <c r="I46" s="1"/>
      <c r="J46" s="1"/>
      <c r="K46" s="1"/>
      <c r="L46" s="1"/>
    </row>
    <row r="47" spans="1:12" ht="15" hidden="1" customHeight="1" x14ac:dyDescent="0.25">
      <c r="A47" s="1"/>
      <c r="B47" s="2"/>
      <c r="C47" s="2"/>
      <c r="D47" s="1"/>
      <c r="E47" s="1"/>
      <c r="F47" s="1"/>
      <c r="G47" s="1"/>
      <c r="H47" s="1"/>
      <c r="I47" s="1"/>
      <c r="J47" s="1"/>
      <c r="K47" s="1"/>
      <c r="L47" s="1"/>
    </row>
    <row r="48" spans="1:12" ht="15" hidden="1" customHeight="1" x14ac:dyDescent="0.25">
      <c r="D48" s="1"/>
      <c r="E48" s="1"/>
      <c r="F48" s="1"/>
      <c r="G48" s="1"/>
      <c r="H48" s="1"/>
      <c r="I48" s="1"/>
    </row>
    <row r="49" spans="4:9" ht="15" hidden="1" customHeight="1" x14ac:dyDescent="0.25">
      <c r="D49" s="1"/>
      <c r="I49" s="1"/>
    </row>
    <row r="50" spans="4:9" ht="15" hidden="1" customHeight="1" x14ac:dyDescent="0.25">
      <c r="D50" s="1"/>
      <c r="I50" s="1"/>
    </row>
    <row r="51" spans="4:9" ht="15" hidden="1" customHeight="1" x14ac:dyDescent="0.25">
      <c r="D51" s="1"/>
      <c r="I51" s="1"/>
    </row>
    <row r="52" spans="4:9" ht="15" hidden="1" customHeight="1" x14ac:dyDescent="0.25"/>
    <row r="53" spans="4:9" ht="15" hidden="1" customHeight="1" x14ac:dyDescent="0.25"/>
    <row r="54" spans="4:9" ht="15" hidden="1" customHeight="1" x14ac:dyDescent="0.25"/>
    <row r="55" spans="4:9" ht="15" hidden="1" customHeight="1" x14ac:dyDescent="0.25"/>
    <row r="56" spans="4:9" ht="15" hidden="1" customHeight="1" x14ac:dyDescent="0.25"/>
    <row r="57" spans="4:9" ht="15" hidden="1" customHeight="1" x14ac:dyDescent="0.25"/>
    <row r="58" spans="4:9" ht="15" hidden="1" customHeight="1" x14ac:dyDescent="0.25"/>
    <row r="59" spans="4:9" ht="0" hidden="1" customHeight="1" x14ac:dyDescent="0.25"/>
    <row r="60" spans="4:9" ht="0" hidden="1" customHeight="1" x14ac:dyDescent="0.25"/>
    <row r="61" spans="4:9" ht="0" hidden="1" customHeight="1" x14ac:dyDescent="0.25"/>
    <row r="62" spans="4:9" ht="0" hidden="1" customHeight="1" x14ac:dyDescent="0.25"/>
  </sheetData>
  <sheetProtection algorithmName="SHA-512" hashValue="mKEcCE381xHeySaPJZ0GVum2YuIl46xOTn6i1C29fEXYT5QRlZOW07fgZv5QJwqfAPu0PVFJsGsZW2FkfSz/aQ==" saltValue="vAI4ensryTcMRGvDw6bnmg==" spinCount="100000" sheet="1" objects="1" scenarios="1"/>
  <mergeCells count="14">
    <mergeCell ref="G3:G4"/>
    <mergeCell ref="H3:H4"/>
    <mergeCell ref="E7:F7"/>
    <mergeCell ref="E8:F8"/>
    <mergeCell ref="B1:B3"/>
    <mergeCell ref="B5:B13"/>
    <mergeCell ref="E13:F13"/>
    <mergeCell ref="E5:F5"/>
    <mergeCell ref="E6:F6"/>
    <mergeCell ref="E12:F12"/>
    <mergeCell ref="E3:F4"/>
    <mergeCell ref="E9:F9"/>
    <mergeCell ref="E10:F10"/>
    <mergeCell ref="E11:F11"/>
  </mergeCells>
  <hyperlinks>
    <hyperlink ref="E5:F5" location="'LE-1 Site Selection'!B3" tooltip="LE-1 Site Selection" display="LE-1 Site Selection"/>
    <hyperlink ref="E6:F6" location="'LE-2 Site design'!B3" tooltip="LE-2 Site Design " display="LE-2 Site Design"/>
    <hyperlink ref="E7:F7" location="'LE-3 Vegetation'!D3" tooltip="LE-3 Vegetation" display="LE-3 Vegetation"/>
    <hyperlink ref="E8:F8" location="'LE-4 Heat Island Effect'!E3" tooltip="LE-4 Heat Island Effect" display="LE-4 Heat Island Effect"/>
    <hyperlink ref="E9:F9" location="'LE-5 Storm Water Runoff'!E3" tooltip="LE-5 Storm Water Runoff " display="LE-5 Storm Water Runoff"/>
    <hyperlink ref="E10:F10" location="'LE-6 Flood Risk Mitigation'!E3" tooltip="LE-6 Flood Risk Mitigation" display="LE-6 Flood Risk Mitigation"/>
    <hyperlink ref="E11:F11" location="'LE-7 Refrigerants'!E3" tooltip="LE-7 Refrigerants" display="LE-7 Refrigerants"/>
    <hyperlink ref="E12:F12" location="'LE-8 Waste Management'!E3" tooltip="LE-8 Waste Management" display="LE-8 Waste Management"/>
    <hyperlink ref="E13:F13" location="'LE BPC'!E3" tooltip="Best Practice Credit" display="LE-BPC-1 Composting"/>
  </hyperlinks>
  <pageMargins left="0.7" right="0.7" top="0.75" bottom="0.75" header="0.3" footer="0.3"/>
  <pageSetup orientation="portrait"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6923C"/>
  </sheetPr>
  <dimension ref="A1:P152"/>
  <sheetViews>
    <sheetView showRowColHeaders="0" workbookViewId="0">
      <pane ySplit="8" topLeftCell="A9" activePane="bottomLeft" state="frozen"/>
      <selection activeCell="M21" sqref="M21"/>
      <selection pane="bottomLeft" activeCell="A9" sqref="A9:M9"/>
    </sheetView>
  </sheetViews>
  <sheetFormatPr defaultColWidth="0" defaultRowHeight="15" zeroHeight="1" x14ac:dyDescent="0.25"/>
  <cols>
    <col min="1" max="1" width="3.7109375" style="42" customWidth="1"/>
    <col min="2" max="2" width="18.42578125" style="42" customWidth="1"/>
    <col min="3" max="3" width="18.7109375" style="42" customWidth="1"/>
    <col min="4" max="5" width="18.42578125" style="42" customWidth="1"/>
    <col min="6" max="6" width="17.7109375" style="42" customWidth="1"/>
    <col min="7" max="7" width="17.42578125" style="42" customWidth="1"/>
    <col min="8" max="8" width="19.140625" style="42" customWidth="1"/>
    <col min="9" max="9" width="13.5703125" style="42" customWidth="1"/>
    <col min="10" max="10" width="10.7109375" style="42" customWidth="1"/>
    <col min="11" max="13" width="8.7109375" style="42" customWidth="1"/>
    <col min="14" max="14" width="9.140625" style="42" hidden="1" customWidth="1"/>
    <col min="15" max="15" width="23.7109375" style="42" hidden="1" customWidth="1"/>
    <col min="16" max="16" width="15.28515625" style="42" hidden="1" customWidth="1"/>
    <col min="17" max="16384" width="9.140625" style="42" hidden="1"/>
  </cols>
  <sheetData>
    <row r="1" spans="1:14" ht="23.25" x14ac:dyDescent="0.25">
      <c r="A1" s="1975" t="s">
        <v>1</v>
      </c>
      <c r="B1" s="1975"/>
      <c r="C1" s="1975"/>
      <c r="D1" s="1975"/>
      <c r="E1" s="1975"/>
      <c r="F1" s="1975"/>
      <c r="G1" s="1975"/>
      <c r="H1" s="1975"/>
      <c r="I1" s="1975"/>
      <c r="J1" s="1975"/>
      <c r="K1" s="1975"/>
      <c r="L1" s="1975"/>
      <c r="M1" s="1975"/>
    </row>
    <row r="2" spans="1:14" ht="15" customHeight="1" x14ac:dyDescent="0.25">
      <c r="A2" s="53"/>
      <c r="B2" s="54"/>
      <c r="C2" s="54"/>
      <c r="D2" s="54"/>
      <c r="E2" s="54"/>
      <c r="F2" s="53"/>
      <c r="G2" s="53"/>
      <c r="H2" s="53"/>
      <c r="I2" s="1426" t="s">
        <v>2108</v>
      </c>
      <c r="J2" s="1426"/>
      <c r="K2" s="258" t="s">
        <v>64</v>
      </c>
      <c r="L2" s="258" t="s">
        <v>76</v>
      </c>
      <c r="M2" s="258" t="s">
        <v>160</v>
      </c>
    </row>
    <row r="3" spans="1:14" ht="15" customHeight="1" x14ac:dyDescent="0.25">
      <c r="A3" s="53"/>
      <c r="B3" s="54"/>
      <c r="C3" s="54"/>
      <c r="D3" s="54"/>
      <c r="E3" s="54"/>
      <c r="F3" s="53"/>
      <c r="G3" s="53"/>
      <c r="H3" s="53"/>
      <c r="I3" s="1426"/>
      <c r="J3" s="1426"/>
      <c r="K3" s="258" t="s">
        <v>68</v>
      </c>
      <c r="L3" s="258" t="s">
        <v>80</v>
      </c>
      <c r="M3" s="258" t="s">
        <v>79</v>
      </c>
    </row>
    <row r="4" spans="1:14" ht="15" customHeight="1" x14ac:dyDescent="0.25">
      <c r="A4" s="53"/>
      <c r="B4" s="54"/>
      <c r="C4" s="54"/>
      <c r="D4" s="54"/>
      <c r="E4" s="54"/>
      <c r="F4" s="53"/>
      <c r="G4" s="53"/>
      <c r="H4" s="53"/>
      <c r="I4" s="1652"/>
      <c r="J4" s="1652"/>
      <c r="K4" s="258" t="s">
        <v>72</v>
      </c>
      <c r="L4" s="258" t="s">
        <v>131</v>
      </c>
      <c r="M4" s="240"/>
    </row>
    <row r="5" spans="1:14" ht="21" customHeight="1" x14ac:dyDescent="0.25">
      <c r="A5" s="1976" t="s">
        <v>2424</v>
      </c>
      <c r="B5" s="1977"/>
      <c r="C5" s="1977"/>
      <c r="D5" s="1977"/>
      <c r="E5" s="1977"/>
      <c r="F5" s="1977"/>
      <c r="G5" s="1977"/>
      <c r="H5" s="1977"/>
      <c r="I5" s="1977"/>
      <c r="J5" s="1977"/>
      <c r="K5" s="1977"/>
      <c r="L5" s="1977"/>
      <c r="M5" s="1978"/>
    </row>
    <row r="6" spans="1:14" ht="21" customHeight="1" x14ac:dyDescent="0.25">
      <c r="A6" s="1979"/>
      <c r="B6" s="1421"/>
      <c r="C6" s="1421"/>
      <c r="D6" s="1421"/>
      <c r="E6" s="1421"/>
      <c r="F6" s="1421"/>
      <c r="G6" s="1421"/>
      <c r="H6" s="1421"/>
      <c r="I6" s="1421"/>
      <c r="J6" s="1421"/>
      <c r="K6" s="1421"/>
      <c r="L6" s="1421"/>
      <c r="M6" s="1980"/>
    </row>
    <row r="7" spans="1:14" ht="21" customHeight="1" x14ac:dyDescent="0.25">
      <c r="A7" s="1981"/>
      <c r="B7" s="1982"/>
      <c r="C7" s="1982"/>
      <c r="D7" s="1982"/>
      <c r="E7" s="1982"/>
      <c r="F7" s="1982"/>
      <c r="G7" s="1982"/>
      <c r="H7" s="1982"/>
      <c r="I7" s="1982"/>
      <c r="J7" s="1982"/>
      <c r="K7" s="1982"/>
      <c r="L7" s="1982"/>
      <c r="M7" s="1983"/>
    </row>
    <row r="8" spans="1:14" ht="12" customHeight="1" x14ac:dyDescent="0.25">
      <c r="A8" s="54"/>
      <c r="B8" s="54"/>
      <c r="C8" s="54"/>
      <c r="D8" s="54"/>
      <c r="E8" s="54"/>
      <c r="F8" s="53"/>
      <c r="G8" s="53"/>
      <c r="H8" s="53"/>
      <c r="I8" s="53"/>
      <c r="J8" s="53"/>
      <c r="K8" s="53"/>
      <c r="L8" s="53"/>
      <c r="M8" s="53"/>
    </row>
    <row r="9" spans="1:14" ht="18" customHeight="1" x14ac:dyDescent="0.25">
      <c r="A9" s="1974" t="s">
        <v>191</v>
      </c>
      <c r="B9" s="1974"/>
      <c r="C9" s="1974"/>
      <c r="D9" s="1974"/>
      <c r="E9" s="1974"/>
      <c r="F9" s="1974"/>
      <c r="G9" s="1974"/>
      <c r="H9" s="1974"/>
      <c r="I9" s="1974"/>
      <c r="J9" s="1974"/>
      <c r="K9" s="1974"/>
      <c r="L9" s="1974"/>
      <c r="M9" s="1974"/>
    </row>
    <row r="10" spans="1:14" x14ac:dyDescent="0.25">
      <c r="A10" s="53"/>
      <c r="B10" s="54"/>
      <c r="C10" s="54"/>
      <c r="D10" s="54"/>
      <c r="E10" s="54"/>
      <c r="F10" s="53"/>
      <c r="G10" s="53"/>
      <c r="H10" s="53"/>
      <c r="I10" s="53"/>
      <c r="J10" s="53"/>
      <c r="K10" s="53"/>
      <c r="L10" s="53"/>
      <c r="M10" s="53"/>
    </row>
    <row r="11" spans="1:14" ht="23.25" customHeight="1" x14ac:dyDescent="0.25">
      <c r="A11" s="53"/>
      <c r="B11" s="1984" t="s">
        <v>192</v>
      </c>
      <c r="C11" s="1985"/>
      <c r="D11" s="1985"/>
      <c r="E11" s="1985"/>
      <c r="F11" s="715" t="s">
        <v>157</v>
      </c>
      <c r="G11" s="715" t="s">
        <v>56</v>
      </c>
      <c r="H11" s="60" t="s">
        <v>521</v>
      </c>
      <c r="I11" s="53"/>
      <c r="J11" s="53"/>
      <c r="K11" s="53"/>
      <c r="L11" s="53"/>
      <c r="M11" s="53"/>
    </row>
    <row r="12" spans="1:14" ht="28.5" customHeight="1" x14ac:dyDescent="0.25">
      <c r="A12" s="53"/>
      <c r="B12" s="1430" t="s">
        <v>1397</v>
      </c>
      <c r="C12" s="1431"/>
      <c r="D12" s="1431"/>
      <c r="E12" s="1973"/>
      <c r="F12" s="59">
        <v>1</v>
      </c>
      <c r="G12" s="59">
        <f>C55</f>
        <v>0</v>
      </c>
      <c r="H12" s="59" t="str">
        <f>C56</f>
        <v>No</v>
      </c>
      <c r="I12" s="53"/>
      <c r="J12" s="53"/>
      <c r="K12" s="53"/>
      <c r="L12" s="53"/>
      <c r="M12" s="53"/>
      <c r="N12" s="42" t="str">
        <f>IF(G12&lt;&gt;0,IF(H12="No","No","Yes"),"Yes")</f>
        <v>Yes</v>
      </c>
    </row>
    <row r="13" spans="1:14" ht="28.5" customHeight="1" x14ac:dyDescent="0.25">
      <c r="A13" s="53"/>
      <c r="B13" s="1430" t="s">
        <v>201</v>
      </c>
      <c r="C13" s="1431"/>
      <c r="D13" s="1431"/>
      <c r="E13" s="1973"/>
      <c r="F13" s="59">
        <v>1</v>
      </c>
      <c r="G13" s="59">
        <f>C79</f>
        <v>0</v>
      </c>
      <c r="H13" s="59" t="str">
        <f>C80</f>
        <v>No</v>
      </c>
      <c r="I13" s="53"/>
      <c r="J13" s="53"/>
      <c r="K13" s="53"/>
      <c r="L13" s="53"/>
      <c r="M13" s="53"/>
      <c r="N13" s="42" t="str">
        <f t="shared" ref="N13:N15" si="0">IF(G13&lt;&gt;0,IF(H13="No","No","Yes"),"Yes")</f>
        <v>Yes</v>
      </c>
    </row>
    <row r="14" spans="1:14" ht="40.5" customHeight="1" x14ac:dyDescent="0.25">
      <c r="A14" s="53"/>
      <c r="B14" s="1430" t="s">
        <v>1404</v>
      </c>
      <c r="C14" s="1431"/>
      <c r="D14" s="1431"/>
      <c r="E14" s="1973"/>
      <c r="F14" s="59">
        <v>2</v>
      </c>
      <c r="G14" s="59" t="str">
        <f>C101</f>
        <v>0</v>
      </c>
      <c r="H14" s="59" t="str">
        <f>C102</f>
        <v>No</v>
      </c>
      <c r="I14" s="53"/>
      <c r="J14" s="53"/>
      <c r="K14" s="53"/>
      <c r="L14" s="53"/>
      <c r="M14" s="53"/>
      <c r="N14" s="42" t="str">
        <f>IF(G14&lt;&gt;0,IF(H14="No","No","Yes"),"Yes")</f>
        <v>No</v>
      </c>
    </row>
    <row r="15" spans="1:14" ht="28.5" customHeight="1" x14ac:dyDescent="0.25">
      <c r="A15" s="53"/>
      <c r="B15" s="1430" t="s">
        <v>1982</v>
      </c>
      <c r="C15" s="1431"/>
      <c r="D15" s="1431"/>
      <c r="E15" s="1973"/>
      <c r="F15" s="59">
        <v>1</v>
      </c>
      <c r="G15" s="59">
        <f>C132</f>
        <v>0</v>
      </c>
      <c r="H15" s="59" t="str">
        <f>C133</f>
        <v>No</v>
      </c>
      <c r="I15" s="53"/>
      <c r="J15" s="53"/>
      <c r="K15" s="53"/>
      <c r="L15" s="53"/>
      <c r="M15" s="53"/>
      <c r="N15" s="42" t="str">
        <f t="shared" si="0"/>
        <v>Yes</v>
      </c>
    </row>
    <row r="16" spans="1:14" ht="21" customHeight="1" x14ac:dyDescent="0.25">
      <c r="A16" s="53"/>
      <c r="B16" s="1433" t="s">
        <v>82</v>
      </c>
      <c r="C16" s="1775"/>
      <c r="D16" s="1775"/>
      <c r="E16" s="1776"/>
      <c r="F16" s="702">
        <v>5</v>
      </c>
      <c r="G16" s="702">
        <f>MIN(5,SUM(G12:G15))</f>
        <v>0</v>
      </c>
      <c r="H16" s="702" t="str">
        <f>IF(COUNTIF(H12:H15,"No")=4,"No",IF(COUNTIF(N12:N15,"Yes")=4,"Yes","No"))</f>
        <v>No</v>
      </c>
      <c r="J16" s="53"/>
      <c r="K16" s="53"/>
      <c r="L16" s="53"/>
      <c r="M16" s="53"/>
    </row>
    <row r="17" spans="1:13" x14ac:dyDescent="0.25">
      <c r="A17" s="53"/>
      <c r="B17" s="54"/>
      <c r="C17" s="54"/>
      <c r="D17" s="54"/>
      <c r="E17" s="54"/>
      <c r="F17" s="53"/>
      <c r="G17" s="53"/>
      <c r="H17" s="53"/>
      <c r="I17" s="53"/>
      <c r="J17" s="53"/>
      <c r="K17" s="53"/>
      <c r="L17" s="53"/>
      <c r="M17" s="53"/>
    </row>
    <row r="18" spans="1:13" ht="18" customHeight="1" x14ac:dyDescent="0.25">
      <c r="A18" s="1974" t="s">
        <v>1398</v>
      </c>
      <c r="B18" s="1974"/>
      <c r="C18" s="1974"/>
      <c r="D18" s="1974"/>
      <c r="E18" s="1974"/>
      <c r="F18" s="1974"/>
      <c r="G18" s="1974"/>
      <c r="H18" s="1974"/>
      <c r="I18" s="1974"/>
      <c r="J18" s="1974"/>
      <c r="K18" s="1974"/>
      <c r="L18" s="1974"/>
      <c r="M18" s="1974"/>
    </row>
    <row r="19" spans="1:13" x14ac:dyDescent="0.25">
      <c r="A19" s="53"/>
      <c r="B19" s="54"/>
      <c r="C19" s="54"/>
      <c r="D19" s="54"/>
      <c r="E19" s="54"/>
      <c r="F19" s="53"/>
      <c r="G19" s="53"/>
      <c r="H19" s="53"/>
      <c r="I19" s="53"/>
      <c r="J19" s="53"/>
      <c r="K19" s="53"/>
      <c r="L19" s="53"/>
      <c r="M19" s="53"/>
    </row>
    <row r="20" spans="1:13" ht="16.5" customHeight="1" x14ac:dyDescent="0.25">
      <c r="A20" s="1986" t="s">
        <v>265</v>
      </c>
      <c r="B20" s="1986"/>
      <c r="C20" s="1986"/>
      <c r="D20" s="54"/>
      <c r="E20" s="54"/>
      <c r="F20" s="53"/>
      <c r="G20" s="53"/>
      <c r="H20" s="53"/>
      <c r="I20" s="53"/>
      <c r="J20" s="53"/>
      <c r="K20" s="53"/>
      <c r="L20" s="53"/>
      <c r="M20" s="53"/>
    </row>
    <row r="21" spans="1:13" x14ac:dyDescent="0.25">
      <c r="A21" s="53"/>
      <c r="B21" s="54"/>
      <c r="C21" s="54"/>
      <c r="D21" s="54"/>
      <c r="E21" s="54"/>
      <c r="F21" s="53"/>
      <c r="G21" s="53"/>
      <c r="H21" s="53"/>
      <c r="I21" s="53"/>
      <c r="J21" s="53"/>
      <c r="K21" s="53"/>
      <c r="L21" s="53"/>
      <c r="M21" s="53"/>
    </row>
    <row r="22" spans="1:13" x14ac:dyDescent="0.25">
      <c r="A22" s="53"/>
      <c r="B22" s="716" t="s">
        <v>1396</v>
      </c>
      <c r="C22" s="54"/>
      <c r="D22" s="54"/>
      <c r="E22" s="54"/>
      <c r="F22" s="53"/>
      <c r="G22" s="53"/>
      <c r="H22" s="53"/>
      <c r="I22" s="53"/>
      <c r="J22" s="53"/>
      <c r="K22" s="53"/>
      <c r="L22" s="53"/>
      <c r="M22" s="53"/>
    </row>
    <row r="23" spans="1:13" ht="18.75" customHeight="1" x14ac:dyDescent="0.25">
      <c r="A23" s="53"/>
      <c r="B23" s="54"/>
      <c r="C23" s="54"/>
      <c r="D23" s="54"/>
      <c r="E23" s="54"/>
      <c r="F23" s="53"/>
      <c r="G23" s="53"/>
      <c r="H23" s="53"/>
      <c r="I23" s="53"/>
      <c r="J23" s="53"/>
      <c r="K23" s="53"/>
      <c r="L23" s="53"/>
      <c r="M23" s="53"/>
    </row>
    <row r="24" spans="1:13" ht="16.5" customHeight="1" x14ac:dyDescent="0.25">
      <c r="A24" s="53"/>
      <c r="B24" s="717" t="s">
        <v>1376</v>
      </c>
      <c r="C24" s="54"/>
      <c r="D24" s="54"/>
      <c r="E24" s="54"/>
      <c r="F24" s="53"/>
      <c r="G24" s="53"/>
      <c r="H24" s="53"/>
      <c r="I24" s="53"/>
      <c r="J24" s="53"/>
      <c r="K24" s="53"/>
      <c r="L24" s="53"/>
      <c r="M24" s="53"/>
    </row>
    <row r="25" spans="1:13" ht="9" customHeight="1" x14ac:dyDescent="0.25">
      <c r="A25" s="53"/>
      <c r="B25" s="54"/>
      <c r="C25" s="54"/>
      <c r="D25" s="54"/>
      <c r="E25" s="54"/>
      <c r="F25" s="53"/>
      <c r="G25" s="53"/>
      <c r="H25" s="53"/>
      <c r="I25" s="53"/>
      <c r="J25" s="53"/>
      <c r="K25" s="53"/>
      <c r="L25" s="53"/>
      <c r="M25" s="53"/>
    </row>
    <row r="26" spans="1:13" ht="19.5" customHeight="1" x14ac:dyDescent="0.25">
      <c r="A26" s="53"/>
      <c r="B26" s="1988" t="s">
        <v>1394</v>
      </c>
      <c r="C26" s="1989"/>
      <c r="D26" s="1989"/>
      <c r="E26" s="1989"/>
      <c r="F26" s="1989"/>
      <c r="G26" s="1990"/>
      <c r="H26" s="53"/>
      <c r="I26" s="53"/>
      <c r="J26" s="53"/>
      <c r="K26" s="53"/>
      <c r="L26" s="53"/>
      <c r="M26" s="53"/>
    </row>
    <row r="27" spans="1:13" ht="15" customHeight="1" x14ac:dyDescent="0.25">
      <c r="A27" s="53"/>
      <c r="B27" s="1991" t="s">
        <v>1377</v>
      </c>
      <c r="C27" s="1992"/>
      <c r="D27" s="1992"/>
      <c r="E27" s="1992"/>
      <c r="F27" s="1992"/>
      <c r="G27" s="1993"/>
      <c r="H27" s="53"/>
      <c r="I27" s="53"/>
      <c r="J27" s="53"/>
      <c r="K27" s="53"/>
      <c r="L27" s="53"/>
      <c r="M27" s="53"/>
    </row>
    <row r="28" spans="1:13" ht="15" customHeight="1" x14ac:dyDescent="0.25">
      <c r="A28" s="53"/>
      <c r="B28" s="1995" t="s">
        <v>1378</v>
      </c>
      <c r="C28" s="1996"/>
      <c r="D28" s="1996"/>
      <c r="E28" s="1996"/>
      <c r="F28" s="1996"/>
      <c r="G28" s="1997"/>
      <c r="H28" s="53"/>
      <c r="I28" s="53"/>
      <c r="J28" s="53"/>
      <c r="K28" s="53"/>
      <c r="L28" s="53"/>
      <c r="M28" s="53"/>
    </row>
    <row r="29" spans="1:13" ht="30.75" customHeight="1" x14ac:dyDescent="0.25">
      <c r="A29" s="53"/>
      <c r="B29" s="1436" t="s">
        <v>1381</v>
      </c>
      <c r="C29" s="1437"/>
      <c r="D29" s="1437"/>
      <c r="E29" s="1437"/>
      <c r="F29" s="1438"/>
      <c r="G29" s="268" t="s">
        <v>129</v>
      </c>
      <c r="H29" s="53"/>
      <c r="I29" s="53"/>
      <c r="J29" s="53"/>
      <c r="K29" s="53"/>
      <c r="L29" s="53"/>
      <c r="M29" s="53"/>
    </row>
    <row r="30" spans="1:13" ht="18" customHeight="1" x14ac:dyDescent="0.25">
      <c r="A30" s="53"/>
      <c r="B30" s="1436" t="s">
        <v>1382</v>
      </c>
      <c r="C30" s="1437"/>
      <c r="D30" s="1437"/>
      <c r="E30" s="1437"/>
      <c r="F30" s="1438"/>
      <c r="G30" s="723" t="s">
        <v>129</v>
      </c>
      <c r="H30" s="53"/>
      <c r="I30" s="53"/>
      <c r="J30" s="53"/>
      <c r="K30" s="53"/>
      <c r="L30" s="53"/>
      <c r="M30" s="53"/>
    </row>
    <row r="31" spans="1:13" ht="18" customHeight="1" x14ac:dyDescent="0.25">
      <c r="A31" s="53"/>
      <c r="B31" s="1436" t="s">
        <v>1383</v>
      </c>
      <c r="C31" s="1437"/>
      <c r="D31" s="1437"/>
      <c r="E31" s="1437"/>
      <c r="F31" s="1438"/>
      <c r="G31" s="723" t="s">
        <v>129</v>
      </c>
      <c r="H31" s="53"/>
      <c r="I31" s="53"/>
      <c r="J31" s="53"/>
      <c r="K31" s="53"/>
      <c r="L31" s="53"/>
      <c r="M31" s="53"/>
    </row>
    <row r="32" spans="1:13" ht="18" customHeight="1" x14ac:dyDescent="0.25">
      <c r="A32" s="53"/>
      <c r="B32" s="1436" t="s">
        <v>1384</v>
      </c>
      <c r="C32" s="1437"/>
      <c r="D32" s="1437"/>
      <c r="E32" s="1437"/>
      <c r="F32" s="1438"/>
      <c r="G32" s="723" t="s">
        <v>129</v>
      </c>
      <c r="H32" s="53"/>
      <c r="I32" s="53"/>
      <c r="J32" s="53"/>
      <c r="K32" s="53"/>
      <c r="L32" s="53"/>
      <c r="M32" s="53"/>
    </row>
    <row r="33" spans="1:14" ht="18" customHeight="1" x14ac:dyDescent="0.25">
      <c r="A33" s="53"/>
      <c r="B33" s="1436" t="s">
        <v>1385</v>
      </c>
      <c r="C33" s="1437"/>
      <c r="D33" s="1437"/>
      <c r="E33" s="1437"/>
      <c r="F33" s="1438"/>
      <c r="G33" s="723" t="s">
        <v>129</v>
      </c>
      <c r="H33" s="53"/>
      <c r="I33" s="53"/>
      <c r="J33" s="53"/>
      <c r="K33" s="53"/>
      <c r="L33" s="53"/>
      <c r="M33" s="53"/>
    </row>
    <row r="34" spans="1:14" ht="18" customHeight="1" x14ac:dyDescent="0.25">
      <c r="A34" s="53"/>
      <c r="B34" s="1436" t="s">
        <v>1386</v>
      </c>
      <c r="C34" s="1437"/>
      <c r="D34" s="1437"/>
      <c r="E34" s="1437"/>
      <c r="F34" s="1438"/>
      <c r="G34" s="723" t="s">
        <v>129</v>
      </c>
      <c r="H34" s="53"/>
      <c r="I34" s="53"/>
      <c r="J34" s="53"/>
      <c r="K34" s="53"/>
      <c r="L34" s="53"/>
      <c r="M34" s="53"/>
    </row>
    <row r="35" spans="1:14" x14ac:dyDescent="0.25">
      <c r="A35" s="53"/>
      <c r="B35" s="54"/>
      <c r="C35" s="54"/>
      <c r="D35" s="54"/>
      <c r="E35" s="54"/>
      <c r="F35" s="53"/>
      <c r="G35" s="53"/>
      <c r="H35" s="53"/>
      <c r="I35" s="53"/>
      <c r="J35" s="53"/>
      <c r="K35" s="53"/>
      <c r="L35" s="53"/>
      <c r="M35" s="53"/>
    </row>
    <row r="36" spans="1:14" ht="19.5" customHeight="1" x14ac:dyDescent="0.25">
      <c r="A36" s="53"/>
      <c r="B36" s="1988" t="s">
        <v>1380</v>
      </c>
      <c r="C36" s="1989"/>
      <c r="D36" s="1989"/>
      <c r="E36" s="1989"/>
      <c r="F36" s="1989"/>
      <c r="G36" s="1990"/>
      <c r="H36" s="53"/>
      <c r="I36" s="53"/>
      <c r="J36" s="53"/>
      <c r="K36" s="53"/>
      <c r="L36" s="53"/>
      <c r="M36" s="53"/>
    </row>
    <row r="37" spans="1:14" ht="18" customHeight="1" x14ac:dyDescent="0.25">
      <c r="A37" s="53"/>
      <c r="B37" s="1994" t="s">
        <v>1379</v>
      </c>
      <c r="C37" s="1994"/>
      <c r="D37" s="1994"/>
      <c r="E37" s="1994"/>
      <c r="F37" s="1994"/>
      <c r="G37" s="1994"/>
      <c r="H37" s="53"/>
      <c r="I37" s="53"/>
      <c r="J37" s="53"/>
      <c r="K37" s="53"/>
      <c r="L37" s="53"/>
      <c r="M37" s="53"/>
    </row>
    <row r="38" spans="1:14" ht="18" customHeight="1" x14ac:dyDescent="0.25">
      <c r="A38" s="53"/>
      <c r="B38" s="1436" t="s">
        <v>1387</v>
      </c>
      <c r="C38" s="1437"/>
      <c r="D38" s="1437"/>
      <c r="E38" s="1437"/>
      <c r="F38" s="1438"/>
      <c r="G38" s="518" t="s">
        <v>129</v>
      </c>
      <c r="H38" s="53"/>
      <c r="I38" s="53"/>
      <c r="J38" s="53"/>
      <c r="K38" s="53"/>
      <c r="L38" s="53"/>
      <c r="M38" s="53"/>
    </row>
    <row r="39" spans="1:14" ht="28.5" customHeight="1" x14ac:dyDescent="0.25">
      <c r="A39" s="53"/>
      <c r="B39" s="1436" t="s">
        <v>1388</v>
      </c>
      <c r="C39" s="1437"/>
      <c r="D39" s="1437"/>
      <c r="E39" s="1437"/>
      <c r="F39" s="1438"/>
      <c r="G39" s="518" t="s">
        <v>129</v>
      </c>
      <c r="H39" s="53"/>
      <c r="I39" s="53"/>
      <c r="J39" s="53"/>
      <c r="K39" s="53"/>
      <c r="L39" s="53"/>
      <c r="M39" s="53"/>
    </row>
    <row r="40" spans="1:14" ht="40.5" customHeight="1" x14ac:dyDescent="0.25">
      <c r="A40" s="53"/>
      <c r="B40" s="1436" t="s">
        <v>1389</v>
      </c>
      <c r="C40" s="1437"/>
      <c r="D40" s="1437"/>
      <c r="E40" s="1437"/>
      <c r="F40" s="1438"/>
      <c r="G40" s="518" t="s">
        <v>129</v>
      </c>
      <c r="H40" s="53"/>
      <c r="I40" s="53"/>
      <c r="J40" s="53"/>
      <c r="K40" s="53"/>
      <c r="L40" s="53"/>
      <c r="M40" s="53"/>
    </row>
    <row r="41" spans="1:14" ht="28.5" customHeight="1" x14ac:dyDescent="0.25">
      <c r="A41" s="53"/>
      <c r="B41" s="1436" t="s">
        <v>1390</v>
      </c>
      <c r="C41" s="1437"/>
      <c r="D41" s="1437"/>
      <c r="E41" s="1437"/>
      <c r="F41" s="1438"/>
      <c r="G41" s="518" t="s">
        <v>129</v>
      </c>
      <c r="H41" s="53"/>
      <c r="I41" s="53"/>
      <c r="J41" s="53"/>
      <c r="K41" s="53"/>
      <c r="L41" s="53"/>
      <c r="M41" s="53"/>
    </row>
    <row r="42" spans="1:14" ht="28.5" customHeight="1" x14ac:dyDescent="0.25">
      <c r="A42" s="53"/>
      <c r="B42" s="1436" t="s">
        <v>1391</v>
      </c>
      <c r="C42" s="1437"/>
      <c r="D42" s="1437"/>
      <c r="E42" s="1437"/>
      <c r="F42" s="1438"/>
      <c r="G42" s="518" t="s">
        <v>129</v>
      </c>
      <c r="H42" s="53"/>
      <c r="I42" s="53"/>
      <c r="J42" s="53"/>
      <c r="K42" s="53"/>
      <c r="L42" s="53"/>
      <c r="M42" s="53"/>
    </row>
    <row r="43" spans="1:14" ht="28.5" customHeight="1" x14ac:dyDescent="0.25">
      <c r="A43" s="53"/>
      <c r="B43" s="1436" t="s">
        <v>1392</v>
      </c>
      <c r="C43" s="1437"/>
      <c r="D43" s="1437"/>
      <c r="E43" s="1437"/>
      <c r="F43" s="1438"/>
      <c r="G43" s="518" t="s">
        <v>129</v>
      </c>
      <c r="H43" s="53"/>
      <c r="I43" s="53"/>
      <c r="J43" s="53"/>
      <c r="K43" s="53"/>
      <c r="L43" s="53"/>
      <c r="M43" s="53"/>
    </row>
    <row r="44" spans="1:14" ht="28.5" customHeight="1" x14ac:dyDescent="0.25">
      <c r="A44" s="53"/>
      <c r="B44" s="1436" t="s">
        <v>1393</v>
      </c>
      <c r="C44" s="1437"/>
      <c r="D44" s="1437"/>
      <c r="E44" s="1437"/>
      <c r="F44" s="1438"/>
      <c r="G44" s="518" t="s">
        <v>129</v>
      </c>
      <c r="H44" s="53"/>
      <c r="I44" s="53"/>
      <c r="J44" s="53"/>
      <c r="K44" s="53"/>
      <c r="L44" s="53"/>
      <c r="M44" s="53"/>
    </row>
    <row r="45" spans="1:14" ht="18" customHeight="1" x14ac:dyDescent="0.25">
      <c r="A45" s="53"/>
      <c r="B45" s="54"/>
      <c r="C45" s="54"/>
      <c r="D45" s="54"/>
      <c r="E45" s="54"/>
      <c r="F45" s="53"/>
      <c r="G45" s="53"/>
      <c r="H45" s="53"/>
      <c r="I45" s="53"/>
      <c r="J45" s="53"/>
      <c r="K45" s="53"/>
      <c r="L45" s="53"/>
      <c r="M45" s="53"/>
    </row>
    <row r="46" spans="1:14" ht="18" customHeight="1" x14ac:dyDescent="0.25">
      <c r="A46" s="53"/>
      <c r="B46" s="1987" t="s">
        <v>1399</v>
      </c>
      <c r="C46" s="1987"/>
      <c r="D46" s="734" t="str">
        <f>IF(COUNTIF(G29:G34,"No")&lt;6,"No",IF(COUNTIF(G38:G44,"Yes")&lt;1,"No","Yes"))</f>
        <v>No</v>
      </c>
      <c r="E46" s="54"/>
      <c r="F46" s="53"/>
      <c r="G46" s="53"/>
      <c r="H46" s="53"/>
      <c r="I46" s="53"/>
      <c r="J46" s="53"/>
      <c r="K46" s="53"/>
      <c r="L46" s="53"/>
      <c r="M46" s="53"/>
    </row>
    <row r="47" spans="1:14" ht="18" customHeight="1" x14ac:dyDescent="0.25">
      <c r="A47" s="53"/>
      <c r="B47" s="54"/>
      <c r="C47" s="54"/>
      <c r="D47" s="54"/>
      <c r="E47" s="54"/>
      <c r="F47" s="53"/>
      <c r="G47" s="53"/>
      <c r="H47" s="53"/>
      <c r="I47" s="53"/>
      <c r="J47" s="53"/>
      <c r="K47" s="53"/>
      <c r="L47" s="53"/>
      <c r="M47" s="53"/>
    </row>
    <row r="48" spans="1:14" ht="16.5" customHeight="1" x14ac:dyDescent="0.25">
      <c r="A48" s="1986" t="s">
        <v>200</v>
      </c>
      <c r="B48" s="1986"/>
      <c r="C48" s="1986"/>
      <c r="D48" s="54"/>
      <c r="E48" s="54"/>
      <c r="F48" s="54"/>
      <c r="G48" s="54"/>
      <c r="H48" s="54"/>
      <c r="I48" s="54"/>
      <c r="J48" s="54"/>
      <c r="K48" s="54"/>
      <c r="L48" s="54"/>
      <c r="M48" s="54"/>
      <c r="N48" s="54"/>
    </row>
    <row r="49" spans="1:14" x14ac:dyDescent="0.25">
      <c r="A49" s="53"/>
      <c r="B49" s="54"/>
      <c r="C49" s="54"/>
      <c r="D49" s="54"/>
      <c r="E49" s="53"/>
      <c r="F49" s="53"/>
      <c r="G49" s="53"/>
      <c r="H49" s="53"/>
      <c r="I49" s="53"/>
      <c r="J49" s="53"/>
      <c r="K49" s="53"/>
      <c r="L49" s="53"/>
      <c r="M49" s="53"/>
      <c r="N49" s="53"/>
    </row>
    <row r="50" spans="1:14" ht="18" customHeight="1" x14ac:dyDescent="0.25">
      <c r="A50" s="53"/>
      <c r="B50" s="1998" t="s">
        <v>2103</v>
      </c>
      <c r="C50" s="1999"/>
      <c r="D50" s="1999"/>
      <c r="E50" s="1999"/>
      <c r="F50" s="1999"/>
      <c r="G50" s="1077" t="s">
        <v>2101</v>
      </c>
      <c r="H50" s="2000" t="s">
        <v>2102</v>
      </c>
      <c r="I50" s="2001"/>
      <c r="J50" s="53"/>
      <c r="K50" s="53"/>
      <c r="L50" s="53"/>
      <c r="M50" s="53"/>
      <c r="N50" s="53"/>
    </row>
    <row r="51" spans="1:14" ht="27" customHeight="1" x14ac:dyDescent="0.25">
      <c r="A51" s="53"/>
      <c r="B51" s="1899" t="s">
        <v>1334</v>
      </c>
      <c r="C51" s="1900"/>
      <c r="D51" s="1900"/>
      <c r="E51" s="1900"/>
      <c r="F51" s="1912"/>
      <c r="G51" s="1076" t="s">
        <v>129</v>
      </c>
      <c r="H51" s="1730"/>
      <c r="I51" s="1729"/>
      <c r="J51" s="53"/>
      <c r="K51" s="53"/>
      <c r="L51" s="53"/>
      <c r="M51" s="53"/>
      <c r="N51" s="53"/>
    </row>
    <row r="52" spans="1:14" ht="19.5" customHeight="1" x14ac:dyDescent="0.25">
      <c r="A52" s="53"/>
      <c r="B52" s="54"/>
      <c r="C52" s="54"/>
      <c r="D52" s="54"/>
      <c r="E52" s="54"/>
      <c r="F52" s="53"/>
      <c r="G52" s="53"/>
      <c r="H52" s="53"/>
      <c r="I52" s="53"/>
      <c r="J52" s="53"/>
      <c r="K52" s="53"/>
      <c r="L52" s="53"/>
      <c r="M52" s="53"/>
    </row>
    <row r="53" spans="1:14" ht="16.5" customHeight="1" x14ac:dyDescent="0.25">
      <c r="A53" s="1986" t="s">
        <v>25</v>
      </c>
      <c r="B53" s="1986"/>
      <c r="C53" s="1986"/>
      <c r="D53" s="54"/>
      <c r="E53" s="54"/>
      <c r="F53" s="53"/>
      <c r="G53" s="53"/>
      <c r="H53" s="53"/>
      <c r="I53" s="53"/>
      <c r="J53" s="53"/>
      <c r="K53" s="53"/>
      <c r="L53" s="53"/>
      <c r="M53" s="53"/>
    </row>
    <row r="54" spans="1:14" x14ac:dyDescent="0.25">
      <c r="A54" s="53"/>
      <c r="B54" s="54"/>
      <c r="C54" s="54"/>
      <c r="D54" s="54"/>
      <c r="E54" s="54"/>
      <c r="F54" s="53"/>
      <c r="G54" s="53"/>
      <c r="H54" s="53"/>
      <c r="I54" s="53"/>
      <c r="J54" s="53"/>
      <c r="K54" s="53"/>
      <c r="L54" s="53"/>
      <c r="M54" s="53"/>
    </row>
    <row r="55" spans="1:14" ht="18" customHeight="1" x14ac:dyDescent="0.25">
      <c r="A55" s="53"/>
      <c r="B55" s="269" t="s">
        <v>56</v>
      </c>
      <c r="C55" s="1193">
        <f>IF(D46="Yes",1,0)</f>
        <v>0</v>
      </c>
      <c r="D55" s="54"/>
      <c r="E55" s="54"/>
      <c r="F55" s="53"/>
      <c r="G55" s="53"/>
      <c r="H55" s="53"/>
      <c r="I55" s="53"/>
      <c r="J55" s="53"/>
      <c r="K55" s="53"/>
      <c r="L55" s="53"/>
      <c r="M55" s="53"/>
    </row>
    <row r="56" spans="1:14" ht="18" customHeight="1" x14ac:dyDescent="0.25">
      <c r="A56" s="53"/>
      <c r="B56" s="273" t="s">
        <v>521</v>
      </c>
      <c r="C56" s="1193" t="str">
        <f>IF(AND(G51="Submitted",C55&gt;0),"Yes","No")</f>
        <v>No</v>
      </c>
      <c r="D56" s="53"/>
      <c r="E56" s="53"/>
      <c r="F56" s="53"/>
      <c r="G56" s="53"/>
      <c r="H56" s="53"/>
      <c r="I56" s="53"/>
      <c r="J56" s="53"/>
      <c r="K56" s="53"/>
      <c r="L56" s="53"/>
      <c r="M56" s="53"/>
    </row>
    <row r="57" spans="1:14" ht="18" customHeight="1" x14ac:dyDescent="0.25">
      <c r="A57" s="53"/>
      <c r="B57" s="54"/>
      <c r="C57" s="54"/>
      <c r="D57" s="54"/>
      <c r="E57" s="54"/>
      <c r="F57" s="53"/>
      <c r="G57" s="53"/>
      <c r="H57" s="53"/>
      <c r="I57" s="53"/>
      <c r="J57" s="53"/>
      <c r="K57" s="53"/>
      <c r="L57" s="53"/>
      <c r="M57" s="53"/>
    </row>
    <row r="58" spans="1:14" ht="18" customHeight="1" x14ac:dyDescent="0.25">
      <c r="A58" s="1974" t="s">
        <v>202</v>
      </c>
      <c r="B58" s="1974"/>
      <c r="C58" s="1974"/>
      <c r="D58" s="1974"/>
      <c r="E58" s="1974"/>
      <c r="F58" s="1974"/>
      <c r="G58" s="1974"/>
      <c r="H58" s="1974"/>
      <c r="I58" s="1974"/>
      <c r="J58" s="1974"/>
      <c r="K58" s="1974"/>
      <c r="L58" s="1974"/>
      <c r="M58" s="1974"/>
    </row>
    <row r="59" spans="1:14" x14ac:dyDescent="0.25">
      <c r="A59" s="53"/>
      <c r="B59" s="53"/>
      <c r="C59" s="53"/>
      <c r="D59" s="53"/>
      <c r="E59" s="53"/>
      <c r="F59" s="53"/>
      <c r="G59" s="53"/>
      <c r="H59" s="53"/>
      <c r="I59" s="53"/>
      <c r="J59" s="53"/>
      <c r="K59" s="53"/>
      <c r="L59" s="53"/>
      <c r="M59" s="53"/>
    </row>
    <row r="60" spans="1:14" ht="16.5" customHeight="1" x14ac:dyDescent="0.25">
      <c r="A60" s="1986" t="s">
        <v>265</v>
      </c>
      <c r="B60" s="1986"/>
      <c r="C60" s="1986"/>
      <c r="D60" s="53"/>
      <c r="E60" s="53"/>
      <c r="F60" s="53"/>
      <c r="G60" s="53"/>
      <c r="H60" s="53"/>
      <c r="I60" s="53"/>
      <c r="J60" s="53"/>
      <c r="K60" s="53"/>
      <c r="L60" s="53"/>
      <c r="M60" s="53"/>
    </row>
    <row r="61" spans="1:14" x14ac:dyDescent="0.25">
      <c r="A61" s="53"/>
      <c r="B61" s="54"/>
      <c r="C61" s="54"/>
      <c r="D61" s="53"/>
      <c r="E61" s="53"/>
      <c r="F61" s="53"/>
      <c r="G61" s="53"/>
      <c r="H61" s="53"/>
      <c r="I61" s="53"/>
      <c r="J61" s="53"/>
      <c r="K61" s="53"/>
      <c r="L61" s="53"/>
      <c r="M61" s="53"/>
    </row>
    <row r="62" spans="1:14" x14ac:dyDescent="0.25">
      <c r="A62" s="53"/>
      <c r="B62" s="716" t="s">
        <v>1337</v>
      </c>
      <c r="C62" s="54"/>
      <c r="D62" s="53"/>
      <c r="E62" s="53"/>
      <c r="F62" s="53"/>
      <c r="G62" s="53"/>
      <c r="H62" s="53"/>
      <c r="I62" s="53"/>
      <c r="J62" s="53"/>
      <c r="K62" s="53"/>
      <c r="L62" s="53"/>
      <c r="M62" s="53"/>
    </row>
    <row r="63" spans="1:14" ht="18.75" customHeight="1" x14ac:dyDescent="0.25">
      <c r="A63" s="53"/>
      <c r="B63" s="716"/>
      <c r="C63" s="54"/>
      <c r="D63" s="53"/>
      <c r="E63" s="53"/>
      <c r="F63" s="53"/>
      <c r="G63" s="53"/>
      <c r="H63" s="53"/>
      <c r="I63" s="53"/>
      <c r="J63" s="53"/>
      <c r="K63" s="53"/>
      <c r="L63" s="53"/>
      <c r="M63" s="53"/>
    </row>
    <row r="64" spans="1:14" x14ac:dyDescent="0.25">
      <c r="A64" s="53"/>
      <c r="B64" s="717" t="s">
        <v>1294</v>
      </c>
      <c r="C64" s="54"/>
      <c r="D64" s="53"/>
      <c r="E64" s="53"/>
      <c r="F64" s="53"/>
      <c r="G64" s="53"/>
      <c r="H64" s="53"/>
      <c r="I64" s="53"/>
      <c r="J64" s="53"/>
      <c r="K64" s="53"/>
      <c r="L64" s="53"/>
      <c r="M64" s="53"/>
    </row>
    <row r="65" spans="1:14" ht="13.5" customHeight="1" x14ac:dyDescent="0.25">
      <c r="A65" s="53"/>
      <c r="B65" s="717"/>
      <c r="C65" s="54"/>
      <c r="D65" s="53"/>
      <c r="E65" s="53"/>
      <c r="F65" s="53"/>
      <c r="G65" s="53"/>
      <c r="H65" s="53"/>
      <c r="I65" s="53"/>
      <c r="J65" s="53"/>
      <c r="K65" s="53"/>
      <c r="L65" s="53"/>
      <c r="M65" s="53"/>
    </row>
    <row r="66" spans="1:14" ht="15" customHeight="1" x14ac:dyDescent="0.25">
      <c r="A66" s="53"/>
      <c r="B66" s="2004" t="s">
        <v>203</v>
      </c>
      <c r="C66" s="2004"/>
      <c r="D66" s="2004"/>
      <c r="E66" s="2004"/>
      <c r="F66" s="2004"/>
      <c r="G66" s="2004"/>
      <c r="H66" s="2004"/>
      <c r="I66" s="53"/>
      <c r="J66" s="53"/>
      <c r="K66" s="53"/>
      <c r="L66" s="53"/>
      <c r="M66" s="53"/>
    </row>
    <row r="67" spans="1:14" ht="18" customHeight="1" x14ac:dyDescent="0.25">
      <c r="A67" s="53"/>
      <c r="B67" s="2002" t="s">
        <v>1400</v>
      </c>
      <c r="C67" s="2003"/>
      <c r="D67" s="2003"/>
      <c r="E67" s="2003"/>
      <c r="F67" s="518" t="s">
        <v>129</v>
      </c>
      <c r="G67" s="53"/>
      <c r="H67" s="53"/>
      <c r="I67" s="53"/>
      <c r="J67" s="53"/>
      <c r="K67" s="53"/>
      <c r="L67" s="53"/>
      <c r="M67" s="53"/>
    </row>
    <row r="68" spans="1:14" ht="18" customHeight="1" x14ac:dyDescent="0.25">
      <c r="A68" s="53"/>
      <c r="B68" s="2002" t="s">
        <v>1401</v>
      </c>
      <c r="C68" s="2003"/>
      <c r="D68" s="2003"/>
      <c r="E68" s="2003"/>
      <c r="F68" s="518" t="s">
        <v>129</v>
      </c>
      <c r="G68" s="53"/>
      <c r="H68" s="53"/>
      <c r="I68" s="53"/>
      <c r="J68" s="53"/>
      <c r="K68" s="53"/>
      <c r="L68" s="53"/>
      <c r="M68" s="53"/>
    </row>
    <row r="69" spans="1:14" x14ac:dyDescent="0.25">
      <c r="A69" s="53"/>
      <c r="B69" s="54"/>
      <c r="C69" s="54"/>
      <c r="D69" s="54"/>
      <c r="E69" s="54"/>
      <c r="F69" s="53"/>
      <c r="G69" s="53"/>
      <c r="H69" s="53"/>
      <c r="I69" s="53"/>
      <c r="J69" s="53"/>
      <c r="K69" s="53"/>
      <c r="L69" s="53"/>
      <c r="M69" s="53"/>
    </row>
    <row r="70" spans="1:14" ht="18" customHeight="1" x14ac:dyDescent="0.25">
      <c r="A70" s="53"/>
      <c r="B70" s="1987" t="s">
        <v>1402</v>
      </c>
      <c r="C70" s="1987"/>
      <c r="D70" s="734" t="str">
        <f>IF(COUNTIF(F67:F68,"Yes")&lt;1,"No","Yes")</f>
        <v>No</v>
      </c>
      <c r="E70" s="54"/>
      <c r="F70" s="53"/>
      <c r="G70" s="53"/>
      <c r="H70" s="53"/>
      <c r="I70" s="53"/>
      <c r="J70" s="53"/>
      <c r="K70" s="53"/>
      <c r="L70" s="53"/>
      <c r="M70" s="53"/>
    </row>
    <row r="71" spans="1:14" x14ac:dyDescent="0.25">
      <c r="A71" s="53"/>
      <c r="B71" s="54"/>
      <c r="C71" s="54"/>
      <c r="D71" s="54"/>
      <c r="E71" s="54"/>
      <c r="F71" s="53"/>
      <c r="G71" s="53"/>
      <c r="H71" s="53"/>
      <c r="I71" s="53"/>
      <c r="J71" s="53"/>
      <c r="K71" s="53"/>
      <c r="L71" s="53"/>
      <c r="M71" s="53"/>
    </row>
    <row r="72" spans="1:14" ht="16.5" customHeight="1" x14ac:dyDescent="0.25">
      <c r="A72" s="1986" t="s">
        <v>200</v>
      </c>
      <c r="B72" s="1986"/>
      <c r="C72" s="1986"/>
      <c r="D72" s="54"/>
      <c r="E72" s="54"/>
      <c r="F72" s="54"/>
      <c r="G72" s="54"/>
      <c r="H72" s="54"/>
      <c r="I72" s="54"/>
      <c r="J72" s="54"/>
      <c r="K72" s="54"/>
      <c r="L72" s="54"/>
      <c r="M72" s="54"/>
      <c r="N72" s="54"/>
    </row>
    <row r="73" spans="1:14" x14ac:dyDescent="0.25">
      <c r="A73" s="53"/>
      <c r="B73" s="54"/>
      <c r="C73" s="54"/>
      <c r="D73" s="54"/>
      <c r="E73" s="53"/>
      <c r="F73" s="53"/>
      <c r="G73" s="53"/>
      <c r="H73" s="53"/>
      <c r="I73" s="53"/>
      <c r="J73" s="53"/>
      <c r="K73" s="53"/>
      <c r="L73" s="53"/>
      <c r="M73" s="53"/>
      <c r="N73" s="53"/>
    </row>
    <row r="74" spans="1:14" ht="18" customHeight="1" x14ac:dyDescent="0.25">
      <c r="A74" s="53"/>
      <c r="B74" s="1998" t="s">
        <v>2103</v>
      </c>
      <c r="C74" s="1999"/>
      <c r="D74" s="1999"/>
      <c r="E74" s="1999"/>
      <c r="F74" s="1999"/>
      <c r="G74" s="1077" t="s">
        <v>2101</v>
      </c>
      <c r="H74" s="2000" t="s">
        <v>2102</v>
      </c>
      <c r="I74" s="2001"/>
      <c r="J74" s="53"/>
      <c r="K74" s="53"/>
      <c r="L74" s="53"/>
      <c r="M74" s="53"/>
      <c r="N74" s="53"/>
    </row>
    <row r="75" spans="1:14" ht="24" customHeight="1" x14ac:dyDescent="0.25">
      <c r="A75" s="53"/>
      <c r="B75" s="1899" t="s">
        <v>1333</v>
      </c>
      <c r="C75" s="1900"/>
      <c r="D75" s="1900"/>
      <c r="E75" s="1900"/>
      <c r="F75" s="1912"/>
      <c r="G75" s="518" t="s">
        <v>129</v>
      </c>
      <c r="H75" s="1730"/>
      <c r="I75" s="1729"/>
      <c r="J75" s="53"/>
      <c r="K75" s="53"/>
      <c r="L75" s="53"/>
      <c r="M75" s="53"/>
      <c r="N75" s="53"/>
    </row>
    <row r="76" spans="1:14" x14ac:dyDescent="0.25">
      <c r="A76" s="53"/>
      <c r="B76" s="54"/>
      <c r="C76" s="54"/>
      <c r="D76" s="54"/>
      <c r="E76" s="54"/>
      <c r="F76" s="53"/>
      <c r="G76" s="53"/>
      <c r="H76" s="53"/>
      <c r="I76" s="53"/>
      <c r="J76" s="53"/>
      <c r="K76" s="53"/>
      <c r="L76" s="53"/>
      <c r="M76" s="53"/>
    </row>
    <row r="77" spans="1:14" ht="16.5" customHeight="1" x14ac:dyDescent="0.25">
      <c r="A77" s="1986" t="s">
        <v>25</v>
      </c>
      <c r="B77" s="1986"/>
      <c r="C77" s="1986"/>
      <c r="D77" s="54"/>
      <c r="E77" s="54"/>
      <c r="F77" s="53"/>
      <c r="G77" s="53"/>
      <c r="H77" s="53"/>
      <c r="I77" s="53"/>
      <c r="J77" s="53"/>
      <c r="K77" s="53"/>
      <c r="L77" s="53"/>
      <c r="M77" s="53"/>
    </row>
    <row r="78" spans="1:14" x14ac:dyDescent="0.25">
      <c r="A78" s="53"/>
      <c r="B78" s="54"/>
      <c r="C78" s="54"/>
      <c r="D78" s="54"/>
      <c r="E78" s="54"/>
      <c r="F78" s="53"/>
      <c r="G78" s="53"/>
      <c r="H78" s="53"/>
      <c r="I78" s="53"/>
      <c r="J78" s="53"/>
      <c r="K78" s="53"/>
      <c r="L78" s="53"/>
      <c r="M78" s="53"/>
    </row>
    <row r="79" spans="1:14" ht="18" customHeight="1" x14ac:dyDescent="0.25">
      <c r="A79" s="53"/>
      <c r="B79" s="269" t="s">
        <v>56</v>
      </c>
      <c r="C79" s="1193">
        <f>IF(D70="Yes",1,0)</f>
        <v>0</v>
      </c>
      <c r="D79" s="54"/>
      <c r="E79" s="54"/>
      <c r="F79" s="53"/>
      <c r="G79" s="53"/>
      <c r="H79" s="53"/>
      <c r="I79" s="53"/>
      <c r="J79" s="53"/>
      <c r="K79" s="53"/>
      <c r="L79" s="53"/>
      <c r="M79" s="53"/>
    </row>
    <row r="80" spans="1:14" ht="18" customHeight="1" x14ac:dyDescent="0.25">
      <c r="A80" s="53"/>
      <c r="B80" s="273" t="s">
        <v>521</v>
      </c>
      <c r="C80" s="1193" t="str">
        <f>IF(AND(G75="Submitted",C79&gt;0),"Yes","No")</f>
        <v>No</v>
      </c>
      <c r="D80" s="53"/>
      <c r="E80" s="53"/>
      <c r="F80" s="53"/>
      <c r="G80" s="53"/>
      <c r="H80" s="53"/>
      <c r="I80" s="53"/>
      <c r="J80" s="53"/>
      <c r="K80" s="53"/>
      <c r="L80" s="53"/>
      <c r="M80" s="53"/>
    </row>
    <row r="81" spans="1:14" ht="19.5" customHeight="1" x14ac:dyDescent="0.25">
      <c r="A81" s="53"/>
      <c r="B81" s="54"/>
      <c r="C81" s="54"/>
      <c r="D81" s="54"/>
      <c r="E81" s="54"/>
      <c r="F81" s="53"/>
      <c r="G81" s="53"/>
      <c r="H81" s="53"/>
      <c r="I81" s="53"/>
      <c r="J81" s="53"/>
      <c r="K81" s="53"/>
      <c r="L81" s="53"/>
      <c r="M81" s="53"/>
    </row>
    <row r="82" spans="1:14" ht="18.75" customHeight="1" x14ac:dyDescent="0.25">
      <c r="A82" s="1974" t="s">
        <v>302</v>
      </c>
      <c r="B82" s="1974"/>
      <c r="C82" s="1974"/>
      <c r="D82" s="1974"/>
      <c r="E82" s="1974"/>
      <c r="F82" s="1974"/>
      <c r="G82" s="1974"/>
      <c r="H82" s="1974"/>
      <c r="I82" s="1974"/>
      <c r="J82" s="1974"/>
      <c r="K82" s="1974"/>
      <c r="L82" s="1974"/>
      <c r="M82" s="1974"/>
    </row>
    <row r="83" spans="1:14" x14ac:dyDescent="0.25">
      <c r="A83" s="53"/>
      <c r="B83" s="54"/>
      <c r="C83" s="54"/>
      <c r="D83" s="54"/>
      <c r="E83" s="54"/>
      <c r="F83" s="53"/>
      <c r="G83" s="53"/>
      <c r="H83" s="53"/>
      <c r="I83" s="53"/>
      <c r="J83" s="53"/>
      <c r="K83" s="53"/>
      <c r="L83" s="53"/>
      <c r="M83" s="53"/>
    </row>
    <row r="84" spans="1:14" ht="16.5" customHeight="1" x14ac:dyDescent="0.25">
      <c r="A84" s="1986" t="s">
        <v>265</v>
      </c>
      <c r="B84" s="1986"/>
      <c r="C84" s="1986"/>
      <c r="D84" s="53"/>
      <c r="E84" s="53"/>
      <c r="F84" s="53"/>
      <c r="G84" s="53"/>
      <c r="H84" s="53"/>
      <c r="I84" s="53"/>
      <c r="J84" s="53"/>
      <c r="K84" s="53"/>
      <c r="L84" s="53"/>
      <c r="M84" s="53"/>
    </row>
    <row r="85" spans="1:14" x14ac:dyDescent="0.25">
      <c r="A85" s="53"/>
      <c r="B85" s="54"/>
      <c r="C85" s="54"/>
      <c r="D85" s="53"/>
      <c r="E85" s="53"/>
      <c r="F85" s="53"/>
      <c r="G85" s="53"/>
      <c r="H85" s="53"/>
      <c r="I85" s="53"/>
      <c r="J85" s="53"/>
      <c r="K85" s="53"/>
      <c r="L85" s="53"/>
      <c r="M85" s="53"/>
    </row>
    <row r="86" spans="1:14" x14ac:dyDescent="0.25">
      <c r="A86" s="53"/>
      <c r="B86" s="716" t="s">
        <v>1336</v>
      </c>
      <c r="C86" s="54"/>
      <c r="D86" s="53"/>
      <c r="E86" s="53"/>
      <c r="F86" s="53"/>
      <c r="G86" s="53"/>
      <c r="H86" s="53"/>
      <c r="I86" s="53"/>
      <c r="J86" s="53"/>
      <c r="K86" s="53"/>
      <c r="L86" s="53"/>
      <c r="M86" s="53"/>
    </row>
    <row r="87" spans="1:14" x14ac:dyDescent="0.25">
      <c r="A87" s="53"/>
      <c r="B87" s="716"/>
      <c r="C87" s="54"/>
      <c r="D87" s="53"/>
      <c r="E87" s="53"/>
      <c r="F87" s="53"/>
      <c r="G87" s="53"/>
      <c r="H87" s="53"/>
      <c r="I87" s="53"/>
      <c r="J87" s="53"/>
      <c r="K87" s="53"/>
      <c r="L87" s="53"/>
      <c r="M87" s="53"/>
    </row>
    <row r="88" spans="1:14" x14ac:dyDescent="0.25">
      <c r="A88" s="53"/>
      <c r="B88" s="634" t="s">
        <v>304</v>
      </c>
      <c r="C88" s="54"/>
      <c r="D88" s="54"/>
      <c r="E88" s="54"/>
      <c r="F88" s="53"/>
      <c r="G88" s="53"/>
      <c r="H88" s="53"/>
      <c r="I88" s="53"/>
      <c r="J88" s="53"/>
      <c r="K88" s="53"/>
      <c r="L88" s="53"/>
      <c r="M88" s="53"/>
    </row>
    <row r="89" spans="1:14" x14ac:dyDescent="0.25">
      <c r="A89" s="53"/>
      <c r="B89" s="720" t="s">
        <v>1403</v>
      </c>
      <c r="C89" s="53"/>
      <c r="D89" s="53"/>
      <c r="E89" s="53"/>
      <c r="F89" s="53"/>
      <c r="G89" s="53"/>
      <c r="H89" s="53"/>
      <c r="I89" s="53"/>
      <c r="J89" s="53"/>
      <c r="K89" s="53"/>
      <c r="L89" s="53"/>
      <c r="M89" s="53"/>
    </row>
    <row r="90" spans="1:14" ht="15" customHeight="1" x14ac:dyDescent="0.25">
      <c r="A90" s="53"/>
      <c r="B90" s="53"/>
      <c r="C90" s="53"/>
      <c r="D90" s="53"/>
      <c r="E90" s="53"/>
      <c r="F90" s="53"/>
      <c r="G90" s="53"/>
      <c r="H90" s="53"/>
      <c r="I90" s="53"/>
      <c r="J90" s="53"/>
      <c r="K90" s="53"/>
      <c r="L90" s="53"/>
      <c r="M90" s="53"/>
    </row>
    <row r="91" spans="1:14" ht="27" customHeight="1" x14ac:dyDescent="0.25">
      <c r="A91" s="53"/>
      <c r="B91" s="461" t="s">
        <v>303</v>
      </c>
      <c r="C91" s="462" t="s">
        <v>846</v>
      </c>
      <c r="D91" s="53"/>
      <c r="E91" s="53"/>
      <c r="F91" s="53"/>
      <c r="G91" s="53"/>
      <c r="H91" s="53"/>
      <c r="I91" s="53"/>
      <c r="J91" s="53"/>
      <c r="K91" s="53"/>
      <c r="L91" s="53"/>
      <c r="M91" s="53"/>
    </row>
    <row r="92" spans="1:14" ht="18" customHeight="1" x14ac:dyDescent="0.25">
      <c r="A92" s="53"/>
      <c r="B92" s="206" t="s">
        <v>129</v>
      </c>
      <c r="C92" s="206"/>
      <c r="D92" s="524"/>
      <c r="E92" s="53"/>
      <c r="F92" s="53"/>
      <c r="G92" s="53"/>
      <c r="H92" s="53"/>
      <c r="I92" s="53"/>
      <c r="J92" s="53"/>
      <c r="K92" s="53"/>
      <c r="L92" s="53"/>
      <c r="M92" s="53"/>
    </row>
    <row r="93" spans="1:14" x14ac:dyDescent="0.25">
      <c r="A93" s="53"/>
      <c r="B93" s="54"/>
      <c r="C93" s="54"/>
      <c r="D93" s="54"/>
      <c r="E93" s="54"/>
      <c r="F93" s="53"/>
      <c r="G93" s="53"/>
      <c r="H93" s="53"/>
      <c r="I93" s="53"/>
      <c r="J93" s="53"/>
      <c r="K93" s="53"/>
      <c r="L93" s="53"/>
      <c r="M93" s="53"/>
    </row>
    <row r="94" spans="1:14" ht="16.5" customHeight="1" x14ac:dyDescent="0.25">
      <c r="A94" s="1986" t="s">
        <v>200</v>
      </c>
      <c r="B94" s="1986"/>
      <c r="C94" s="1986"/>
      <c r="D94" s="54"/>
      <c r="E94" s="54"/>
      <c r="F94" s="54"/>
      <c r="G94" s="54"/>
      <c r="H94" s="54"/>
      <c r="I94" s="54"/>
      <c r="J94" s="54"/>
      <c r="K94" s="54"/>
      <c r="L94" s="54"/>
      <c r="M94" s="54"/>
      <c r="N94" s="54"/>
    </row>
    <row r="95" spans="1:14" x14ac:dyDescent="0.25">
      <c r="A95" s="53"/>
      <c r="B95" s="54"/>
      <c r="C95" s="54"/>
      <c r="D95" s="54"/>
      <c r="E95" s="53"/>
      <c r="F95" s="53"/>
      <c r="G95" s="53"/>
      <c r="H95" s="53"/>
      <c r="I95" s="53"/>
      <c r="J95" s="53"/>
      <c r="K95" s="53"/>
      <c r="L95" s="53"/>
      <c r="M95" s="53"/>
      <c r="N95" s="53"/>
    </row>
    <row r="96" spans="1:14" ht="18" customHeight="1" x14ac:dyDescent="0.25">
      <c r="A96" s="53"/>
      <c r="B96" s="1998" t="s">
        <v>2103</v>
      </c>
      <c r="C96" s="1999"/>
      <c r="D96" s="1999"/>
      <c r="E96" s="1999"/>
      <c r="F96" s="1999"/>
      <c r="G96" s="1077" t="s">
        <v>2101</v>
      </c>
      <c r="H96" s="2000" t="s">
        <v>2102</v>
      </c>
      <c r="I96" s="2001"/>
      <c r="J96" s="53"/>
      <c r="K96" s="53"/>
      <c r="L96" s="53"/>
      <c r="M96" s="53"/>
      <c r="N96" s="53"/>
    </row>
    <row r="97" spans="1:15" ht="24" customHeight="1" x14ac:dyDescent="0.25">
      <c r="A97" s="53"/>
      <c r="B97" s="1899" t="s">
        <v>1332</v>
      </c>
      <c r="C97" s="1900"/>
      <c r="D97" s="1900"/>
      <c r="E97" s="1900"/>
      <c r="F97" s="1912"/>
      <c r="G97" s="1076" t="s">
        <v>129</v>
      </c>
      <c r="H97" s="1730"/>
      <c r="I97" s="1729"/>
      <c r="J97" s="53"/>
      <c r="K97" s="53"/>
      <c r="L97" s="53"/>
      <c r="M97" s="53"/>
      <c r="N97" s="53"/>
    </row>
    <row r="98" spans="1:15" x14ac:dyDescent="0.25">
      <c r="A98" s="53"/>
      <c r="B98" s="54"/>
      <c r="C98" s="54"/>
      <c r="D98" s="54"/>
      <c r="E98" s="54"/>
      <c r="F98" s="53"/>
      <c r="G98" s="53"/>
      <c r="H98" s="53"/>
      <c r="I98" s="53"/>
      <c r="J98" s="53"/>
      <c r="K98" s="53"/>
      <c r="L98" s="53"/>
      <c r="M98" s="53"/>
    </row>
    <row r="99" spans="1:15" ht="16.5" customHeight="1" x14ac:dyDescent="0.25">
      <c r="A99" s="1986" t="s">
        <v>25</v>
      </c>
      <c r="B99" s="1986"/>
      <c r="C99" s="1986"/>
      <c r="D99" s="54"/>
      <c r="E99" s="54"/>
      <c r="F99" s="53"/>
      <c r="G99" s="53"/>
      <c r="H99" s="53"/>
      <c r="I99" s="53"/>
      <c r="J99" s="53"/>
      <c r="K99" s="53"/>
      <c r="L99" s="53"/>
      <c r="M99" s="53"/>
    </row>
    <row r="100" spans="1:15" x14ac:dyDescent="0.25">
      <c r="A100" s="53"/>
      <c r="B100" s="54"/>
      <c r="C100" s="54"/>
      <c r="D100" s="54"/>
      <c r="E100" s="54"/>
      <c r="F100" s="53"/>
      <c r="G100" s="53"/>
      <c r="H100" s="53"/>
      <c r="I100" s="53"/>
      <c r="J100" s="53"/>
      <c r="K100" s="53"/>
      <c r="L100" s="53"/>
      <c r="M100" s="53"/>
    </row>
    <row r="101" spans="1:15" ht="18" customHeight="1" x14ac:dyDescent="0.25">
      <c r="A101" s="53"/>
      <c r="B101" s="269" t="s">
        <v>56</v>
      </c>
      <c r="C101" s="1193" t="str">
        <f>IF(AND(B92&lt;&gt;"Select",B92&lt;&gt;"",C92&lt;&gt;""),IF(C92&lt;=400,2,IF(C92&lt;=800,1,0)),"0")</f>
        <v>0</v>
      </c>
      <c r="D101" s="54"/>
      <c r="E101" s="54"/>
      <c r="F101" s="53"/>
      <c r="G101" s="53"/>
      <c r="H101" s="53"/>
      <c r="I101" s="53"/>
      <c r="J101" s="53"/>
      <c r="K101" s="53"/>
      <c r="L101" s="53"/>
      <c r="M101" s="53"/>
      <c r="O101" s="42" t="s">
        <v>129</v>
      </c>
    </row>
    <row r="102" spans="1:15" ht="18" customHeight="1" x14ac:dyDescent="0.25">
      <c r="A102" s="53"/>
      <c r="B102" s="273" t="s">
        <v>521</v>
      </c>
      <c r="C102" s="1193" t="str">
        <f>IF(AND(G97="Submitted",C101&gt;0),"Yes","No")</f>
        <v>No</v>
      </c>
      <c r="D102" s="54"/>
      <c r="E102" s="54"/>
      <c r="F102" s="53"/>
      <c r="G102" s="53"/>
      <c r="H102" s="53"/>
      <c r="I102" s="53"/>
      <c r="J102" s="53"/>
      <c r="K102" s="53"/>
      <c r="L102" s="53"/>
      <c r="M102" s="53"/>
      <c r="O102" s="42" t="s">
        <v>307</v>
      </c>
    </row>
    <row r="103" spans="1:15" ht="18" customHeight="1" x14ac:dyDescent="0.25">
      <c r="A103" s="53"/>
      <c r="B103" s="54"/>
      <c r="C103" s="54"/>
      <c r="D103" s="54"/>
      <c r="E103" s="54"/>
      <c r="F103" s="53"/>
      <c r="G103" s="53"/>
      <c r="H103" s="53"/>
      <c r="I103" s="53"/>
      <c r="J103" s="53"/>
      <c r="K103" s="53"/>
      <c r="L103" s="53"/>
      <c r="M103" s="53"/>
      <c r="O103" s="42" t="s">
        <v>1983</v>
      </c>
    </row>
    <row r="104" spans="1:15" ht="18.75" customHeight="1" x14ac:dyDescent="0.25">
      <c r="A104" s="1974" t="s">
        <v>305</v>
      </c>
      <c r="B104" s="1974"/>
      <c r="C104" s="1974"/>
      <c r="D104" s="1974"/>
      <c r="E104" s="1974"/>
      <c r="F104" s="1974"/>
      <c r="G104" s="1974"/>
      <c r="H104" s="1974"/>
      <c r="I104" s="1974"/>
      <c r="J104" s="1974"/>
      <c r="K104" s="1974"/>
      <c r="L104" s="1974"/>
      <c r="M104" s="1974"/>
      <c r="O104" s="42" t="s">
        <v>1984</v>
      </c>
    </row>
    <row r="105" spans="1:15" x14ac:dyDescent="0.25">
      <c r="A105" s="53"/>
      <c r="B105" s="53"/>
      <c r="C105" s="54"/>
      <c r="D105" s="54"/>
      <c r="E105" s="54"/>
      <c r="F105" s="53"/>
      <c r="G105" s="53"/>
      <c r="H105" s="53"/>
      <c r="I105" s="53"/>
      <c r="J105" s="53"/>
      <c r="K105" s="53"/>
      <c r="L105" s="53"/>
      <c r="M105" s="53"/>
      <c r="O105" s="42" t="s">
        <v>1985</v>
      </c>
    </row>
    <row r="106" spans="1:15" ht="16.5" customHeight="1" x14ac:dyDescent="0.25">
      <c r="A106" s="1986" t="s">
        <v>265</v>
      </c>
      <c r="B106" s="1986"/>
      <c r="C106" s="1986"/>
      <c r="D106" s="53"/>
      <c r="E106" s="53"/>
      <c r="F106" s="53"/>
      <c r="G106" s="53"/>
      <c r="H106" s="53"/>
      <c r="I106" s="53"/>
      <c r="J106" s="53"/>
      <c r="K106" s="53"/>
      <c r="L106" s="53"/>
      <c r="M106" s="53"/>
      <c r="O106" s="42" t="s">
        <v>2006</v>
      </c>
    </row>
    <row r="107" spans="1:15" x14ac:dyDescent="0.25">
      <c r="A107" s="53"/>
      <c r="B107" s="54"/>
      <c r="C107" s="54"/>
      <c r="D107" s="53"/>
      <c r="E107" s="53"/>
      <c r="F107" s="53"/>
      <c r="G107" s="53"/>
      <c r="H107" s="53"/>
      <c r="I107" s="53"/>
      <c r="J107" s="53"/>
      <c r="K107" s="53"/>
      <c r="L107" s="53"/>
      <c r="M107" s="53"/>
      <c r="O107" s="42" t="s">
        <v>2005</v>
      </c>
    </row>
    <row r="108" spans="1:15" x14ac:dyDescent="0.25">
      <c r="A108" s="53"/>
      <c r="B108" s="716" t="s">
        <v>1335</v>
      </c>
      <c r="C108" s="54"/>
      <c r="D108" s="53"/>
      <c r="E108" s="53"/>
      <c r="F108" s="53"/>
      <c r="G108" s="53"/>
      <c r="H108" s="53"/>
      <c r="I108" s="53"/>
      <c r="J108" s="53"/>
      <c r="K108" s="53"/>
      <c r="L108" s="53"/>
      <c r="M108" s="53"/>
      <c r="O108" s="42" t="s">
        <v>1987</v>
      </c>
    </row>
    <row r="109" spans="1:15" x14ac:dyDescent="0.25">
      <c r="A109" s="53"/>
      <c r="B109" s="716"/>
      <c r="C109" s="54"/>
      <c r="D109" s="53"/>
      <c r="E109" s="53"/>
      <c r="F109" s="53"/>
      <c r="G109" s="53"/>
      <c r="H109" s="53"/>
      <c r="I109" s="53"/>
      <c r="J109" s="53"/>
      <c r="K109" s="53"/>
      <c r="L109" s="53"/>
      <c r="M109" s="53"/>
      <c r="O109" s="42" t="s">
        <v>1988</v>
      </c>
    </row>
    <row r="110" spans="1:15" x14ac:dyDescent="0.25">
      <c r="A110" s="53"/>
      <c r="B110" s="720" t="s">
        <v>1395</v>
      </c>
      <c r="C110" s="54"/>
      <c r="D110" s="54"/>
      <c r="E110" s="54"/>
      <c r="F110" s="53"/>
      <c r="G110" s="53"/>
      <c r="H110" s="53"/>
      <c r="I110" s="53"/>
      <c r="J110" s="53"/>
      <c r="K110" s="53"/>
      <c r="L110" s="53"/>
      <c r="M110" s="53"/>
      <c r="O110" s="42" t="s">
        <v>1989</v>
      </c>
    </row>
    <row r="111" spans="1:15" ht="13.5" customHeight="1" x14ac:dyDescent="0.25">
      <c r="A111" s="53"/>
      <c r="B111" s="53"/>
      <c r="C111" s="54"/>
      <c r="D111" s="54"/>
      <c r="E111" s="54"/>
      <c r="F111" s="53"/>
      <c r="G111" s="53"/>
      <c r="H111" s="53"/>
      <c r="I111" s="53"/>
      <c r="J111" s="53"/>
      <c r="K111" s="53"/>
      <c r="L111" s="53"/>
      <c r="M111" s="53"/>
      <c r="O111" s="42" t="s">
        <v>1990</v>
      </c>
    </row>
    <row r="112" spans="1:15" ht="11.25" customHeight="1" x14ac:dyDescent="0.25">
      <c r="A112" s="53"/>
      <c r="B112" s="53"/>
      <c r="C112" s="54"/>
      <c r="D112" s="54"/>
      <c r="E112" s="54"/>
      <c r="F112" s="53"/>
      <c r="G112" s="53"/>
      <c r="H112" s="53"/>
      <c r="I112" s="53"/>
      <c r="J112" s="53"/>
      <c r="K112" s="53"/>
      <c r="L112" s="53"/>
      <c r="M112" s="53"/>
      <c r="O112" s="42" t="s">
        <v>1991</v>
      </c>
    </row>
    <row r="113" spans="1:15" x14ac:dyDescent="0.25">
      <c r="A113" s="53"/>
      <c r="B113" s="717" t="s">
        <v>2004</v>
      </c>
      <c r="C113" s="54"/>
      <c r="D113" s="54"/>
      <c r="E113" s="54"/>
      <c r="F113" s="53"/>
      <c r="G113" s="53"/>
      <c r="H113" s="53"/>
      <c r="I113" s="53"/>
      <c r="J113" s="53"/>
      <c r="K113" s="53"/>
      <c r="L113" s="53"/>
      <c r="M113" s="53"/>
      <c r="O113" s="42" t="s">
        <v>1992</v>
      </c>
    </row>
    <row r="114" spans="1:15" ht="9" customHeight="1" x14ac:dyDescent="0.25">
      <c r="A114" s="53"/>
      <c r="B114" s="53"/>
      <c r="C114" s="54"/>
      <c r="D114" s="54"/>
      <c r="E114" s="54"/>
      <c r="F114" s="53"/>
      <c r="G114" s="53"/>
      <c r="H114" s="53"/>
      <c r="I114" s="53"/>
      <c r="J114" s="53"/>
      <c r="K114" s="53"/>
      <c r="L114" s="53"/>
      <c r="M114" s="53"/>
      <c r="O114" s="42" t="s">
        <v>1993</v>
      </c>
    </row>
    <row r="115" spans="1:15" ht="27.75" customHeight="1" x14ac:dyDescent="0.25">
      <c r="A115" s="53"/>
      <c r="B115" s="2008" t="s">
        <v>847</v>
      </c>
      <c r="C115" s="2009"/>
      <c r="D115" s="464" t="s">
        <v>308</v>
      </c>
      <c r="E115" s="465" t="s">
        <v>306</v>
      </c>
      <c r="F115" s="53"/>
      <c r="G115" s="53"/>
      <c r="H115" s="53"/>
      <c r="I115" s="53"/>
      <c r="J115" s="53"/>
      <c r="K115" s="53"/>
      <c r="L115" s="53"/>
      <c r="M115" s="53"/>
      <c r="O115" s="42" t="s">
        <v>1994</v>
      </c>
    </row>
    <row r="116" spans="1:15" ht="15" customHeight="1" x14ac:dyDescent="0.25">
      <c r="A116" s="53"/>
      <c r="B116" s="1817" t="s">
        <v>129</v>
      </c>
      <c r="C116" s="1918"/>
      <c r="D116" s="463"/>
      <c r="E116" s="463"/>
      <c r="F116" s="53"/>
      <c r="G116" s="53"/>
      <c r="H116" s="53"/>
      <c r="I116" s="53"/>
      <c r="J116" s="53"/>
      <c r="K116" s="53"/>
      <c r="L116" s="53"/>
      <c r="M116" s="53"/>
      <c r="N116" s="42" t="str">
        <f>IF(AND(D116&lt;&gt;"",B116&lt;&gt;"Select",B116&lt;&gt;"",E116&lt;&gt;"",E116&lt;=500),"Yes","No")</f>
        <v>No</v>
      </c>
      <c r="O116" s="42" t="s">
        <v>1995</v>
      </c>
    </row>
    <row r="117" spans="1:15" x14ac:dyDescent="0.25">
      <c r="A117" s="53"/>
      <c r="B117" s="1817" t="s">
        <v>129</v>
      </c>
      <c r="C117" s="1918"/>
      <c r="D117" s="206"/>
      <c r="E117" s="463"/>
      <c r="F117" s="1015" t="str">
        <f>IF(AND(B117&lt;&gt;"Select",B117=B116),"Please select another type of basic service","")</f>
        <v/>
      </c>
      <c r="G117" s="53"/>
      <c r="H117" s="53"/>
      <c r="I117" s="53"/>
      <c r="J117" s="53"/>
      <c r="K117" s="53"/>
      <c r="L117" s="53"/>
      <c r="M117" s="53"/>
      <c r="N117" s="42" t="str">
        <f>IF(B117=B116,"No",IF(AND(D117&lt;&gt;"",B117&lt;&gt;"Select",B117&lt;&gt;"",E117&lt;&gt;"",E117&lt;=500),"Yes","No"))</f>
        <v>No</v>
      </c>
      <c r="O117" s="42" t="s">
        <v>1996</v>
      </c>
    </row>
    <row r="118" spans="1:15" x14ac:dyDescent="0.25">
      <c r="A118" s="53"/>
      <c r="B118" s="1817" t="s">
        <v>129</v>
      </c>
      <c r="C118" s="1918"/>
      <c r="D118" s="206"/>
      <c r="E118" s="463"/>
      <c r="F118" s="1015" t="str">
        <f>IF(AND(B118&lt;&gt;"Select",OR(B118=B116,B118=B117)),"Please select another type of basic service","")</f>
        <v/>
      </c>
      <c r="G118" s="53"/>
      <c r="H118" s="53"/>
      <c r="I118" s="53"/>
      <c r="J118" s="53"/>
      <c r="K118" s="53"/>
      <c r="L118" s="53"/>
      <c r="M118" s="53"/>
      <c r="N118" s="42" t="str">
        <f>IF(AND(B118&lt;&gt;"Select",OR(B118=B116,B118=B117)),"No",IF(AND(D118&lt;&gt;"",B118&lt;&gt;"Select",B118&lt;&gt;"",E118&lt;&gt;"",E118&lt;=500),"Yes","No"))</f>
        <v>No</v>
      </c>
      <c r="O118" s="42" t="s">
        <v>1997</v>
      </c>
    </row>
    <row r="119" spans="1:15" x14ac:dyDescent="0.25">
      <c r="A119" s="53"/>
      <c r="B119" s="1817" t="s">
        <v>129</v>
      </c>
      <c r="C119" s="1918"/>
      <c r="D119" s="206"/>
      <c r="E119" s="463"/>
      <c r="F119" s="1015" t="str">
        <f>IF(AND(B119&lt;&gt;"Select",OR(B119=B117,B119=B118,B119=B116)),"Please select another type of basic service","")</f>
        <v/>
      </c>
      <c r="G119" s="53"/>
      <c r="H119" s="53"/>
      <c r="I119" s="53"/>
      <c r="J119" s="53"/>
      <c r="K119" s="53"/>
      <c r="L119" s="53"/>
      <c r="M119" s="53"/>
      <c r="N119" s="42" t="str">
        <f>IF(AND(B119&lt;&gt;"Select",OR(B119=B117,B119=B118,B119=B116)),"No",IF(AND(D119&lt;&gt;"",B119&lt;&gt;"Select",B119&lt;&gt;"",E119&lt;&gt;"",E119&lt;=500),"Yes","No"))</f>
        <v>No</v>
      </c>
      <c r="O119" s="42" t="s">
        <v>1998</v>
      </c>
    </row>
    <row r="120" spans="1:15" x14ac:dyDescent="0.25">
      <c r="A120" s="53"/>
      <c r="B120" s="1817" t="s">
        <v>129</v>
      </c>
      <c r="C120" s="1918"/>
      <c r="D120" s="206"/>
      <c r="E120" s="463"/>
      <c r="F120" s="1015" t="str">
        <f>IF(AND(B120&lt;&gt;"Select",OR(B120=B118,B120=B119,B120=B117,B120=B116)),"Please select another type of basic service","")</f>
        <v/>
      </c>
      <c r="G120" s="53"/>
      <c r="H120" s="53"/>
      <c r="I120" s="53"/>
      <c r="J120" s="53"/>
      <c r="K120" s="53"/>
      <c r="L120" s="53"/>
      <c r="M120" s="53"/>
      <c r="N120" s="42" t="str">
        <f>IF(AND(B120&lt;&gt;"Select",OR(B120=B118,B120=B119,B120=B117,B120=B116)),"No",IF(AND(D120&lt;&gt;"",B120&lt;&gt;"Select",B120&lt;&gt;"",E120&lt;&gt;"",E120&lt;=500),"Yes","No"))</f>
        <v>No</v>
      </c>
      <c r="O120" s="42" t="s">
        <v>1999</v>
      </c>
    </row>
    <row r="121" spans="1:15" ht="17.25" customHeight="1" x14ac:dyDescent="0.25">
      <c r="A121" s="53"/>
      <c r="B121" s="54"/>
      <c r="C121" s="54"/>
      <c r="D121" s="54"/>
      <c r="E121" s="54"/>
      <c r="F121" s="53"/>
      <c r="G121" s="53"/>
      <c r="H121" s="53"/>
      <c r="I121" s="53"/>
      <c r="J121" s="53"/>
      <c r="K121" s="53"/>
      <c r="L121" s="53"/>
      <c r="M121" s="53"/>
      <c r="O121" s="42" t="s">
        <v>2007</v>
      </c>
    </row>
    <row r="122" spans="1:15" ht="18" customHeight="1" x14ac:dyDescent="0.25">
      <c r="A122" s="53"/>
      <c r="B122" s="2005" t="s">
        <v>1986</v>
      </c>
      <c r="C122" s="2006"/>
      <c r="D122" s="2007"/>
      <c r="E122" s="734" t="str">
        <f>IF(COUNTIF(N116:N120,"Yes")=5,"Yes","No")</f>
        <v>No</v>
      </c>
      <c r="F122" s="53"/>
      <c r="G122" s="53"/>
      <c r="H122" s="53"/>
      <c r="I122" s="53"/>
      <c r="J122" s="53"/>
      <c r="K122" s="53"/>
      <c r="L122" s="53"/>
      <c r="M122" s="53"/>
      <c r="O122" s="42" t="s">
        <v>2008</v>
      </c>
    </row>
    <row r="123" spans="1:15" ht="16.5" customHeight="1" x14ac:dyDescent="0.25">
      <c r="A123" s="53"/>
      <c r="B123" s="54"/>
      <c r="C123" s="54"/>
      <c r="D123" s="54"/>
      <c r="E123" s="54"/>
      <c r="F123" s="53"/>
      <c r="G123" s="53"/>
      <c r="H123" s="53"/>
      <c r="I123" s="53"/>
      <c r="J123" s="53"/>
      <c r="K123" s="53"/>
      <c r="L123" s="53"/>
      <c r="M123" s="53"/>
      <c r="O123" s="42" t="s">
        <v>2009</v>
      </c>
    </row>
    <row r="124" spans="1:15" ht="16.5" customHeight="1" x14ac:dyDescent="0.25">
      <c r="A124" s="1986" t="s">
        <v>200</v>
      </c>
      <c r="B124" s="1986"/>
      <c r="C124" s="1986"/>
      <c r="D124" s="54"/>
      <c r="E124" s="54"/>
      <c r="F124" s="54"/>
      <c r="G124" s="54"/>
      <c r="H124" s="54"/>
      <c r="I124" s="54"/>
      <c r="J124" s="54"/>
      <c r="K124" s="54"/>
      <c r="L124" s="54"/>
      <c r="M124" s="54"/>
      <c r="O124" s="42" t="s">
        <v>2010</v>
      </c>
    </row>
    <row r="125" spans="1:15" x14ac:dyDescent="0.25">
      <c r="A125" s="53"/>
      <c r="B125" s="54"/>
      <c r="C125" s="54"/>
      <c r="D125" s="54"/>
      <c r="E125" s="53"/>
      <c r="F125" s="53"/>
      <c r="G125" s="53"/>
      <c r="H125" s="53"/>
      <c r="I125" s="53"/>
      <c r="J125" s="53"/>
      <c r="K125" s="53"/>
      <c r="L125" s="53"/>
      <c r="M125" s="53"/>
      <c r="O125" s="42" t="s">
        <v>2011</v>
      </c>
    </row>
    <row r="126" spans="1:15" ht="18" customHeight="1" x14ac:dyDescent="0.25">
      <c r="A126" s="53"/>
      <c r="B126" s="1998" t="s">
        <v>2103</v>
      </c>
      <c r="C126" s="1999"/>
      <c r="D126" s="1999"/>
      <c r="E126" s="1999"/>
      <c r="F126" s="1999"/>
      <c r="G126" s="1077" t="s">
        <v>2101</v>
      </c>
      <c r="H126" s="2000" t="s">
        <v>2102</v>
      </c>
      <c r="I126" s="2001"/>
      <c r="J126" s="53"/>
      <c r="K126" s="53"/>
      <c r="L126" s="53"/>
      <c r="M126" s="53"/>
      <c r="O126" s="42" t="s">
        <v>2000</v>
      </c>
    </row>
    <row r="127" spans="1:15" ht="25.5" customHeight="1" x14ac:dyDescent="0.25">
      <c r="A127" s="53"/>
      <c r="B127" s="1899" t="s">
        <v>2003</v>
      </c>
      <c r="C127" s="1900"/>
      <c r="D127" s="1900"/>
      <c r="E127" s="1900"/>
      <c r="F127" s="1912"/>
      <c r="G127" s="1076" t="s">
        <v>129</v>
      </c>
      <c r="H127" s="1730"/>
      <c r="I127" s="1729"/>
      <c r="J127" s="53"/>
      <c r="K127" s="53"/>
      <c r="L127" s="53"/>
      <c r="M127" s="53"/>
      <c r="O127" s="42" t="s">
        <v>2001</v>
      </c>
    </row>
    <row r="128" spans="1:15" ht="24" customHeight="1" x14ac:dyDescent="0.25">
      <c r="A128" s="53"/>
      <c r="B128" s="1899" t="s">
        <v>1331</v>
      </c>
      <c r="C128" s="1900"/>
      <c r="D128" s="1900"/>
      <c r="E128" s="1900"/>
      <c r="F128" s="1912"/>
      <c r="G128" s="1076" t="s">
        <v>129</v>
      </c>
      <c r="H128" s="1730"/>
      <c r="I128" s="1729"/>
      <c r="J128" s="53"/>
      <c r="K128" s="53"/>
      <c r="L128" s="53"/>
      <c r="M128" s="53"/>
      <c r="O128" s="42" t="s">
        <v>2002</v>
      </c>
    </row>
    <row r="129" spans="1:13" ht="18.75" customHeight="1" x14ac:dyDescent="0.25">
      <c r="A129" s="53"/>
      <c r="B129" s="54"/>
      <c r="C129" s="54"/>
      <c r="D129" s="54"/>
      <c r="E129" s="54"/>
      <c r="F129" s="53"/>
      <c r="G129" s="53"/>
      <c r="H129" s="53"/>
      <c r="I129" s="53"/>
      <c r="J129" s="53"/>
      <c r="K129" s="53"/>
      <c r="L129" s="53"/>
      <c r="M129" s="53"/>
    </row>
    <row r="130" spans="1:13" ht="16.5" customHeight="1" x14ac:dyDescent="0.25">
      <c r="A130" s="1986" t="s">
        <v>25</v>
      </c>
      <c r="B130" s="1986"/>
      <c r="C130" s="1986"/>
      <c r="D130" s="54"/>
      <c r="E130" s="54"/>
      <c r="F130" s="53"/>
      <c r="G130" s="53"/>
      <c r="H130" s="53"/>
      <c r="I130" s="53"/>
      <c r="J130" s="53"/>
      <c r="K130" s="53"/>
      <c r="L130" s="53"/>
      <c r="M130" s="53"/>
    </row>
    <row r="131" spans="1:13" x14ac:dyDescent="0.25">
      <c r="A131" s="53"/>
      <c r="B131" s="54"/>
      <c r="C131" s="54"/>
      <c r="D131" s="54"/>
      <c r="E131" s="54"/>
      <c r="F131" s="53"/>
      <c r="G131" s="53"/>
      <c r="H131" s="53"/>
      <c r="I131" s="53"/>
      <c r="J131" s="53"/>
      <c r="K131" s="53"/>
      <c r="L131" s="53"/>
      <c r="M131" s="53"/>
    </row>
    <row r="132" spans="1:13" ht="18" customHeight="1" x14ac:dyDescent="0.25">
      <c r="A132" s="53"/>
      <c r="B132" s="269" t="s">
        <v>56</v>
      </c>
      <c r="C132" s="1193">
        <f>IF(E122="Yes",1,0)</f>
        <v>0</v>
      </c>
      <c r="D132" s="54"/>
      <c r="E132" s="54"/>
      <c r="F132" s="53"/>
      <c r="G132" s="53"/>
      <c r="H132" s="53"/>
      <c r="I132" s="53"/>
      <c r="J132" s="53"/>
      <c r="K132" s="53"/>
      <c r="L132" s="53"/>
      <c r="M132" s="53"/>
    </row>
    <row r="133" spans="1:13" ht="18" customHeight="1" x14ac:dyDescent="0.25">
      <c r="A133" s="53"/>
      <c r="B133" s="273" t="s">
        <v>521</v>
      </c>
      <c r="C133" s="1193" t="str">
        <f>IF(AND(COUNTIF(G127:G128,"Submitted")=2,C132&gt;0),"Yes","No")</f>
        <v>No</v>
      </c>
      <c r="D133" s="54"/>
      <c r="E133" s="54"/>
      <c r="F133" s="53"/>
      <c r="G133" s="53"/>
      <c r="H133" s="53"/>
      <c r="I133" s="53"/>
      <c r="J133" s="53"/>
      <c r="K133" s="53"/>
      <c r="L133" s="53"/>
      <c r="M133" s="53"/>
    </row>
    <row r="134" spans="1:13" x14ac:dyDescent="0.25">
      <c r="A134" s="53"/>
      <c r="B134" s="54"/>
      <c r="C134" s="54"/>
      <c r="D134" s="54"/>
      <c r="E134" s="54"/>
      <c r="F134" s="53"/>
      <c r="G134" s="53"/>
      <c r="H134" s="53"/>
      <c r="I134" s="53"/>
      <c r="J134" s="53"/>
      <c r="K134" s="53"/>
      <c r="L134" s="53"/>
      <c r="M134" s="53"/>
    </row>
    <row r="135" spans="1:13" x14ac:dyDescent="0.25">
      <c r="A135" s="53"/>
      <c r="B135" s="54"/>
      <c r="C135" s="54"/>
      <c r="D135" s="54"/>
      <c r="E135" s="54"/>
      <c r="F135" s="53"/>
      <c r="G135" s="53"/>
      <c r="H135" s="53"/>
      <c r="I135" s="53"/>
      <c r="J135" s="53"/>
      <c r="K135" s="53"/>
      <c r="L135" s="53"/>
      <c r="M135" s="53"/>
    </row>
    <row r="136" spans="1:13" hidden="1" x14ac:dyDescent="0.25"/>
    <row r="137" spans="1:13" hidden="1" x14ac:dyDescent="0.25"/>
    <row r="138" spans="1:13" hidden="1" x14ac:dyDescent="0.25"/>
    <row r="139" spans="1:13" hidden="1" x14ac:dyDescent="0.25"/>
    <row r="140" spans="1:13" hidden="1" x14ac:dyDescent="0.25"/>
    <row r="141" spans="1:13" hidden="1" x14ac:dyDescent="0.25"/>
    <row r="142" spans="1:13" hidden="1" x14ac:dyDescent="0.25"/>
    <row r="143" spans="1:13" hidden="1" x14ac:dyDescent="0.25"/>
    <row r="144" spans="1:13"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sheetData>
  <sheetProtection algorithmName="SHA-512" hashValue="02SGvdqnVh+amZt45VVVGkuCIlojwq/Gq+6/XwCPvXpX2yV9J72iof6Y3zrcS6JyEoHEM7G+VTKWdeV5hXZwnA==" saltValue="eyuUc2gw5RkbwBlUZaIErA==" spinCount="100000" sheet="1" objects="1" scenarios="1"/>
  <mergeCells count="74">
    <mergeCell ref="H127:I127"/>
    <mergeCell ref="H128:I128"/>
    <mergeCell ref="B126:F126"/>
    <mergeCell ref="H126:I126"/>
    <mergeCell ref="H51:I51"/>
    <mergeCell ref="H75:I75"/>
    <mergeCell ref="H97:I97"/>
    <mergeCell ref="A104:M104"/>
    <mergeCell ref="B122:D122"/>
    <mergeCell ref="B118:C118"/>
    <mergeCell ref="B119:C119"/>
    <mergeCell ref="B120:C120"/>
    <mergeCell ref="B115:C115"/>
    <mergeCell ref="B117:C117"/>
    <mergeCell ref="B50:F50"/>
    <mergeCell ref="H50:I50"/>
    <mergeCell ref="B74:F74"/>
    <mergeCell ref="H74:I74"/>
    <mergeCell ref="B96:F96"/>
    <mergeCell ref="H96:I96"/>
    <mergeCell ref="B67:E67"/>
    <mergeCell ref="B68:E68"/>
    <mergeCell ref="A82:M82"/>
    <mergeCell ref="B70:C70"/>
    <mergeCell ref="B66:H66"/>
    <mergeCell ref="A53:C53"/>
    <mergeCell ref="A58:M58"/>
    <mergeCell ref="A20:C20"/>
    <mergeCell ref="A130:C130"/>
    <mergeCell ref="B51:F51"/>
    <mergeCell ref="B75:F75"/>
    <mergeCell ref="B97:F97"/>
    <mergeCell ref="B127:F127"/>
    <mergeCell ref="B128:F128"/>
    <mergeCell ref="A60:C60"/>
    <mergeCell ref="A84:C84"/>
    <mergeCell ref="A106:C106"/>
    <mergeCell ref="A72:C72"/>
    <mergeCell ref="A77:C77"/>
    <mergeCell ref="A94:C94"/>
    <mergeCell ref="A99:C99"/>
    <mergeCell ref="A124:C124"/>
    <mergeCell ref="B116:C116"/>
    <mergeCell ref="B26:G26"/>
    <mergeCell ref="B27:G27"/>
    <mergeCell ref="B36:G36"/>
    <mergeCell ref="B37:G37"/>
    <mergeCell ref="B28:G28"/>
    <mergeCell ref="A48:C48"/>
    <mergeCell ref="B29:F29"/>
    <mergeCell ref="B30:F30"/>
    <mergeCell ref="B31:F31"/>
    <mergeCell ref="B32:F32"/>
    <mergeCell ref="B33:F33"/>
    <mergeCell ref="B34:F34"/>
    <mergeCell ref="B38:F38"/>
    <mergeCell ref="B39:F39"/>
    <mergeCell ref="B40:F40"/>
    <mergeCell ref="B41:F41"/>
    <mergeCell ref="B42:F42"/>
    <mergeCell ref="B43:F43"/>
    <mergeCell ref="B44:F44"/>
    <mergeCell ref="B46:C46"/>
    <mergeCell ref="B13:E13"/>
    <mergeCell ref="B14:E14"/>
    <mergeCell ref="A18:M18"/>
    <mergeCell ref="A1:M1"/>
    <mergeCell ref="A5:M7"/>
    <mergeCell ref="I2:J4"/>
    <mergeCell ref="B16:E16"/>
    <mergeCell ref="B12:E12"/>
    <mergeCell ref="B11:E11"/>
    <mergeCell ref="A9:M9"/>
    <mergeCell ref="B15:E15"/>
  </mergeCells>
  <conditionalFormatting sqref="G75">
    <cfRule type="expression" dxfId="77" priority="16">
      <formula>#REF!&lt;&gt;"Prescriptive Path"</formula>
    </cfRule>
  </conditionalFormatting>
  <conditionalFormatting sqref="G97">
    <cfRule type="expression" dxfId="76" priority="12">
      <formula>#REF!&lt;&gt;"Prescriptive Path"</formula>
    </cfRule>
  </conditionalFormatting>
  <conditionalFormatting sqref="G127:G128">
    <cfRule type="expression" dxfId="75" priority="11">
      <formula>#REF!&lt;&gt;"Prescriptive Path"</formula>
    </cfRule>
  </conditionalFormatting>
  <conditionalFormatting sqref="G51">
    <cfRule type="expression" dxfId="74" priority="10">
      <formula>#REF!&lt;&gt;"Prescriptive Path"</formula>
    </cfRule>
  </conditionalFormatting>
  <conditionalFormatting sqref="H50:I50">
    <cfRule type="expression" dxfId="73" priority="9">
      <formula>#REF!&lt;&gt;"Prescriptive Path"</formula>
    </cfRule>
  </conditionalFormatting>
  <conditionalFormatting sqref="H74:I74">
    <cfRule type="expression" dxfId="72" priority="8">
      <formula>#REF!&lt;&gt;"Prescriptive Path"</formula>
    </cfRule>
  </conditionalFormatting>
  <conditionalFormatting sqref="H96:I96">
    <cfRule type="expression" dxfId="71" priority="7">
      <formula>#REF!&lt;&gt;"Prescriptive Path"</formula>
    </cfRule>
  </conditionalFormatting>
  <conditionalFormatting sqref="H126:I126">
    <cfRule type="expression" dxfId="70" priority="6">
      <formula>#REF!&lt;&gt;"Prescriptive Path"</formula>
    </cfRule>
  </conditionalFormatting>
  <conditionalFormatting sqref="H51">
    <cfRule type="expression" dxfId="69" priority="5">
      <formula>#REF!&lt;&gt;"Prescriptive Path"</formula>
    </cfRule>
  </conditionalFormatting>
  <conditionalFormatting sqref="H75">
    <cfRule type="expression" dxfId="68" priority="4">
      <formula>#REF!&lt;&gt;"Prescriptive Path"</formula>
    </cfRule>
  </conditionalFormatting>
  <conditionalFormatting sqref="H97">
    <cfRule type="expression" dxfId="67" priority="3">
      <formula>#REF!&lt;&gt;"Prescriptive Path"</formula>
    </cfRule>
  </conditionalFormatting>
  <conditionalFormatting sqref="H127">
    <cfRule type="expression" dxfId="66" priority="2">
      <formula>#REF!&lt;&gt;"Prescriptive Path"</formula>
    </cfRule>
  </conditionalFormatting>
  <conditionalFormatting sqref="H128">
    <cfRule type="expression" dxfId="65" priority="1">
      <formula>#REF!&lt;&gt;"Prescriptive Path"</formula>
    </cfRule>
  </conditionalFormatting>
  <dataValidations count="4">
    <dataValidation type="list" allowBlank="1" showInputMessage="1" showErrorMessage="1" sqref="B92">
      <formula1>"Select,metro station, bus stop"</formula1>
    </dataValidation>
    <dataValidation type="list" allowBlank="1" showInputMessage="1" showErrorMessage="1" sqref="B116:C120">
      <formula1>basic_services</formula1>
    </dataValidation>
    <dataValidation type="list" allowBlank="1" showInputMessage="1" showErrorMessage="1" sqref="F67:F68 G38:G44 G29:G34">
      <formula1>"Select,Yes,No"</formula1>
    </dataValidation>
    <dataValidation type="list" allowBlank="1" showInputMessage="1" showErrorMessage="1" sqref="G75 G97 G127:G128 G51">
      <formula1>"Select,Submitted,Not submitted"</formula1>
    </dataValidation>
  </dataValidations>
  <hyperlinks>
    <hyperlink ref="K2" location="'LE-2 Site design'!B3" tooltip="LE-2" display="LE-2"/>
    <hyperlink ref="K3" location="'LE-3 Vegetation'!D3" tooltip="LE-3" display="LE-3"/>
    <hyperlink ref="M2" location="'LE-8 Waste Management'!A1" tooltip="LE-8" display="LE-8"/>
    <hyperlink ref="M3" location="'LE BPC'!A1" tooltip="BPC" display="BPC"/>
    <hyperlink ref="L2" location="'LE-5 Storm Water Runoff'!E3" tooltip="LE-5" display="LE-5"/>
    <hyperlink ref="L3:L4" location="'LE-5 Storm Water Runoff'!A1" tooltip="LE-5" display="LE-5"/>
    <hyperlink ref="L3" location="'LE-6 Flood Risk Mitigation'!E3" tooltip="LE-6" display="LE-6"/>
    <hyperlink ref="L4" location="'LE-7 Refrigerants'!E3" tooltip="LE-7" display="LE-7"/>
    <hyperlink ref="K4" location="'LE-4 Heat Island Effect'!E3" tooltip="LE-4" display="LE-4"/>
  </hyperlinks>
  <pageMargins left="0.7" right="0.7" top="0.75" bottom="0.75" header="0.3" footer="0.3"/>
  <pageSetup orientation="portrait"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6923C"/>
  </sheetPr>
  <dimension ref="A1:N96"/>
  <sheetViews>
    <sheetView showRowColHeaders="0" workbookViewId="0">
      <pane ySplit="8" topLeftCell="A9" activePane="bottomLeft" state="frozen"/>
      <selection activeCell="M21" sqref="M21"/>
      <selection pane="bottomLeft" activeCell="A9" sqref="A9:K9"/>
    </sheetView>
  </sheetViews>
  <sheetFormatPr defaultColWidth="0" defaultRowHeight="15" zeroHeight="1" x14ac:dyDescent="0.25"/>
  <cols>
    <col min="1" max="1" width="5.85546875" style="42" customWidth="1"/>
    <col min="2" max="5" width="18.42578125" style="42" customWidth="1"/>
    <col min="6" max="8" width="18.5703125" style="42" customWidth="1"/>
    <col min="9" max="11" width="8.7109375" style="42" customWidth="1"/>
    <col min="12" max="12" width="34.28515625" style="42" hidden="1" customWidth="1"/>
    <col min="13" max="16384" width="9.140625" style="42" hidden="1"/>
  </cols>
  <sheetData>
    <row r="1" spans="1:12" ht="24" customHeight="1" x14ac:dyDescent="0.25">
      <c r="A1" s="1975" t="s">
        <v>225</v>
      </c>
      <c r="B1" s="1975"/>
      <c r="C1" s="1975"/>
      <c r="D1" s="1975"/>
      <c r="E1" s="1975"/>
      <c r="F1" s="1975"/>
      <c r="G1" s="1975"/>
      <c r="H1" s="1975"/>
      <c r="I1" s="1975"/>
      <c r="J1" s="1975"/>
      <c r="K1" s="1975"/>
    </row>
    <row r="2" spans="1:12" ht="15" customHeight="1" x14ac:dyDescent="0.25">
      <c r="A2" s="53"/>
      <c r="B2" s="54"/>
      <c r="C2" s="54"/>
      <c r="D2" s="54"/>
      <c r="E2" s="54"/>
      <c r="F2" s="53"/>
      <c r="G2" s="1426" t="s">
        <v>2108</v>
      </c>
      <c r="H2" s="1426"/>
      <c r="I2" s="258" t="s">
        <v>60</v>
      </c>
      <c r="J2" s="258" t="s">
        <v>76</v>
      </c>
      <c r="K2" s="258" t="s">
        <v>160</v>
      </c>
    </row>
    <row r="3" spans="1:12" ht="15" customHeight="1" x14ac:dyDescent="0.25">
      <c r="A3" s="53"/>
      <c r="B3" s="54"/>
      <c r="C3" s="54"/>
      <c r="D3" s="54"/>
      <c r="E3" s="54"/>
      <c r="F3" s="53"/>
      <c r="G3" s="1426"/>
      <c r="H3" s="1426"/>
      <c r="I3" s="258" t="s">
        <v>68</v>
      </c>
      <c r="J3" s="258" t="s">
        <v>80</v>
      </c>
      <c r="K3" s="258" t="s">
        <v>79</v>
      </c>
    </row>
    <row r="4" spans="1:12" ht="15" customHeight="1" x14ac:dyDescent="0.25">
      <c r="A4" s="53"/>
      <c r="B4" s="54"/>
      <c r="C4" s="54"/>
      <c r="D4" s="54"/>
      <c r="E4" s="54"/>
      <c r="F4" s="53"/>
      <c r="G4" s="1427"/>
      <c r="H4" s="1427"/>
      <c r="I4" s="258" t="s">
        <v>72</v>
      </c>
      <c r="J4" s="258" t="s">
        <v>131</v>
      </c>
      <c r="K4" s="240"/>
    </row>
    <row r="5" spans="1:12" ht="21" customHeight="1" x14ac:dyDescent="0.25">
      <c r="A5" s="1417" t="s">
        <v>2425</v>
      </c>
      <c r="B5" s="1418"/>
      <c r="C5" s="1418"/>
      <c r="D5" s="1418"/>
      <c r="E5" s="1418"/>
      <c r="F5" s="1418"/>
      <c r="G5" s="1418"/>
      <c r="H5" s="1418"/>
      <c r="I5" s="1418"/>
      <c r="J5" s="1418"/>
      <c r="K5" s="1418"/>
      <c r="L5" s="194"/>
    </row>
    <row r="6" spans="1:12" ht="21" customHeight="1" x14ac:dyDescent="0.25">
      <c r="A6" s="1420"/>
      <c r="B6" s="1421"/>
      <c r="C6" s="1421"/>
      <c r="D6" s="1421"/>
      <c r="E6" s="1421"/>
      <c r="F6" s="1421"/>
      <c r="G6" s="1421"/>
      <c r="H6" s="1421"/>
      <c r="I6" s="1421"/>
      <c r="J6" s="1421"/>
      <c r="K6" s="1421"/>
      <c r="L6" s="196"/>
    </row>
    <row r="7" spans="1:12" ht="21" customHeight="1" x14ac:dyDescent="0.25">
      <c r="A7" s="1423"/>
      <c r="B7" s="1424"/>
      <c r="C7" s="1424"/>
      <c r="D7" s="1424"/>
      <c r="E7" s="1424"/>
      <c r="F7" s="1424"/>
      <c r="G7" s="1424"/>
      <c r="H7" s="1424"/>
      <c r="I7" s="1424"/>
      <c r="J7" s="1424"/>
      <c r="K7" s="1424"/>
      <c r="L7" s="198"/>
    </row>
    <row r="8" spans="1:12" ht="12" customHeight="1" x14ac:dyDescent="0.25">
      <c r="A8" s="53"/>
      <c r="B8" s="54"/>
      <c r="C8" s="54"/>
      <c r="D8" s="54"/>
      <c r="E8" s="54"/>
      <c r="F8" s="53"/>
      <c r="G8" s="53"/>
      <c r="H8" s="53"/>
      <c r="I8" s="53"/>
      <c r="J8" s="53"/>
      <c r="K8" s="53"/>
      <c r="L8" s="53"/>
    </row>
    <row r="9" spans="1:12" ht="18" customHeight="1" x14ac:dyDescent="0.25">
      <c r="A9" s="1974" t="s">
        <v>191</v>
      </c>
      <c r="B9" s="1974"/>
      <c r="C9" s="1974"/>
      <c r="D9" s="1974"/>
      <c r="E9" s="1974"/>
      <c r="F9" s="1974"/>
      <c r="G9" s="1974"/>
      <c r="H9" s="1974"/>
      <c r="I9" s="1974"/>
      <c r="J9" s="1974"/>
      <c r="K9" s="1974"/>
    </row>
    <row r="10" spans="1:12" ht="16.5" customHeight="1" x14ac:dyDescent="0.25">
      <c r="A10" s="53"/>
      <c r="B10" s="54"/>
      <c r="C10" s="54"/>
      <c r="D10" s="54"/>
      <c r="E10" s="54"/>
      <c r="F10" s="53"/>
      <c r="G10" s="53"/>
      <c r="H10" s="53"/>
      <c r="I10" s="53"/>
      <c r="J10" s="53"/>
      <c r="K10" s="53"/>
    </row>
    <row r="11" spans="1:12" ht="19.5" customHeight="1" x14ac:dyDescent="0.25">
      <c r="A11" s="53"/>
      <c r="B11" s="1984" t="s">
        <v>192</v>
      </c>
      <c r="C11" s="1985"/>
      <c r="D11" s="1985"/>
      <c r="E11" s="1985"/>
      <c r="F11" s="715" t="s">
        <v>157</v>
      </c>
      <c r="G11" s="715" t="s">
        <v>56</v>
      </c>
      <c r="H11" s="60" t="s">
        <v>521</v>
      </c>
      <c r="I11" s="53"/>
      <c r="J11" s="53"/>
      <c r="K11" s="53"/>
    </row>
    <row r="12" spans="1:12" ht="40.5" customHeight="1" x14ac:dyDescent="0.25">
      <c r="A12" s="53"/>
      <c r="B12" s="1430" t="s">
        <v>340</v>
      </c>
      <c r="C12" s="1431"/>
      <c r="D12" s="1431"/>
      <c r="E12" s="1973"/>
      <c r="F12" s="249">
        <v>1</v>
      </c>
      <c r="G12" s="59">
        <f>C61</f>
        <v>0</v>
      </c>
      <c r="H12" s="59" t="str">
        <f>C62</f>
        <v>No</v>
      </c>
      <c r="I12" s="53"/>
      <c r="J12" s="53"/>
      <c r="K12" s="53"/>
    </row>
    <row r="13" spans="1:12" ht="27" customHeight="1" x14ac:dyDescent="0.25">
      <c r="A13" s="53"/>
      <c r="B13" s="1430" t="s">
        <v>2020</v>
      </c>
      <c r="C13" s="1431" t="s">
        <v>139</v>
      </c>
      <c r="D13" s="1431" t="s">
        <v>139</v>
      </c>
      <c r="E13" s="1973" t="s">
        <v>139</v>
      </c>
      <c r="F13" s="249">
        <v>1</v>
      </c>
      <c r="G13" s="59">
        <f>C89</f>
        <v>0</v>
      </c>
      <c r="H13" s="59" t="str">
        <f>C90</f>
        <v>No</v>
      </c>
      <c r="I13" s="53"/>
      <c r="J13" s="53"/>
      <c r="K13" s="53"/>
    </row>
    <row r="14" spans="1:12" ht="21" customHeight="1" x14ac:dyDescent="0.25">
      <c r="A14" s="53"/>
      <c r="B14" s="1433" t="s">
        <v>82</v>
      </c>
      <c r="C14" s="1775"/>
      <c r="D14" s="1775"/>
      <c r="E14" s="1775"/>
      <c r="F14" s="702">
        <v>2</v>
      </c>
      <c r="G14" s="702">
        <f>MIN(2,SUM(G12:G13))</f>
        <v>0</v>
      </c>
      <c r="H14" s="702" t="str">
        <f>IF(AND(COUNTIF(H12:H13,"No")=0,COUNTIF(H12:H13,"Yes")&gt;0),"Yes","No")</f>
        <v>No</v>
      </c>
      <c r="I14" s="53"/>
      <c r="J14" s="53"/>
      <c r="K14" s="53"/>
    </row>
    <row r="15" spans="1:12" ht="16.5" customHeight="1" x14ac:dyDescent="0.25">
      <c r="A15" s="53"/>
      <c r="B15" s="54"/>
      <c r="C15" s="54"/>
      <c r="D15" s="54"/>
      <c r="E15" s="54"/>
      <c r="F15" s="53"/>
      <c r="G15" s="53"/>
      <c r="H15" s="53"/>
      <c r="I15" s="53"/>
      <c r="J15" s="53"/>
      <c r="K15" s="53"/>
    </row>
    <row r="16" spans="1:12" ht="18" customHeight="1" x14ac:dyDescent="0.25">
      <c r="A16" s="1974" t="s">
        <v>341</v>
      </c>
      <c r="B16" s="1974"/>
      <c r="C16" s="1974"/>
      <c r="D16" s="1974"/>
      <c r="E16" s="1974"/>
      <c r="F16" s="1974"/>
      <c r="G16" s="1974"/>
      <c r="H16" s="1974"/>
      <c r="I16" s="1974"/>
      <c r="J16" s="1974"/>
      <c r="K16" s="1974"/>
    </row>
    <row r="17" spans="1:11" x14ac:dyDescent="0.25">
      <c r="A17" s="53"/>
      <c r="B17" s="54"/>
      <c r="C17" s="54"/>
      <c r="D17" s="54"/>
      <c r="E17" s="54"/>
      <c r="F17" s="53"/>
      <c r="G17" s="53"/>
      <c r="H17" s="53"/>
      <c r="I17" s="53"/>
      <c r="J17" s="53"/>
      <c r="K17" s="53"/>
    </row>
    <row r="18" spans="1:11" ht="16.5" customHeight="1" x14ac:dyDescent="0.25">
      <c r="A18" s="1986" t="s">
        <v>265</v>
      </c>
      <c r="B18" s="1986"/>
      <c r="C18" s="1986"/>
      <c r="D18" s="54"/>
      <c r="E18" s="54"/>
      <c r="F18" s="53"/>
      <c r="G18" s="53"/>
      <c r="H18" s="53"/>
      <c r="I18" s="53"/>
      <c r="J18" s="53"/>
      <c r="K18" s="53"/>
    </row>
    <row r="19" spans="1:11" ht="12" customHeight="1" x14ac:dyDescent="0.25">
      <c r="A19" s="53"/>
      <c r="B19" s="53"/>
      <c r="C19" s="53"/>
      <c r="D19" s="54"/>
      <c r="E19" s="54"/>
      <c r="F19" s="53"/>
      <c r="G19" s="53"/>
      <c r="H19" s="53"/>
      <c r="I19" s="53"/>
      <c r="J19" s="53"/>
      <c r="K19" s="53"/>
    </row>
    <row r="20" spans="1:11" x14ac:dyDescent="0.25">
      <c r="A20" s="53"/>
      <c r="B20" s="740" t="s">
        <v>1829</v>
      </c>
      <c r="C20" s="53"/>
      <c r="D20" s="54"/>
      <c r="E20" s="54"/>
      <c r="F20" s="53"/>
      <c r="G20" s="53"/>
      <c r="H20" s="53"/>
      <c r="I20" s="53"/>
      <c r="J20" s="53"/>
      <c r="K20" s="53"/>
    </row>
    <row r="21" spans="1:11" x14ac:dyDescent="0.25">
      <c r="A21" s="53"/>
      <c r="B21" s="53"/>
      <c r="C21" s="53"/>
      <c r="D21" s="54"/>
      <c r="E21" s="54"/>
      <c r="F21" s="53"/>
      <c r="G21" s="53"/>
      <c r="H21" s="53"/>
      <c r="I21" s="53"/>
      <c r="J21" s="53"/>
      <c r="K21" s="53"/>
    </row>
    <row r="22" spans="1:11" x14ac:dyDescent="0.25">
      <c r="A22" s="53"/>
      <c r="B22" s="653" t="s">
        <v>1151</v>
      </c>
      <c r="C22" s="638"/>
      <c r="D22" s="638"/>
      <c r="E22" s="638"/>
      <c r="F22" s="639"/>
      <c r="G22" s="53"/>
      <c r="H22" s="53"/>
      <c r="I22" s="53"/>
      <c r="J22" s="53"/>
      <c r="K22" s="53"/>
    </row>
    <row r="23" spans="1:11" x14ac:dyDescent="0.25">
      <c r="A23" s="53"/>
      <c r="B23" s="913" t="s">
        <v>330</v>
      </c>
      <c r="C23" s="635"/>
      <c r="D23" s="635"/>
      <c r="E23" s="635"/>
      <c r="F23" s="641"/>
      <c r="G23" s="53"/>
      <c r="H23" s="53"/>
      <c r="I23" s="53"/>
      <c r="J23" s="53"/>
      <c r="K23" s="53"/>
    </row>
    <row r="24" spans="1:11" x14ac:dyDescent="0.25">
      <c r="A24" s="53"/>
      <c r="B24" s="913" t="s">
        <v>331</v>
      </c>
      <c r="C24" s="635"/>
      <c r="D24" s="635"/>
      <c r="E24" s="635"/>
      <c r="F24" s="641"/>
      <c r="G24" s="53"/>
      <c r="H24" s="53"/>
      <c r="I24" s="53"/>
      <c r="J24" s="53"/>
      <c r="K24" s="53"/>
    </row>
    <row r="25" spans="1:11" x14ac:dyDescent="0.25">
      <c r="A25" s="53"/>
      <c r="B25" s="913" t="s">
        <v>332</v>
      </c>
      <c r="C25" s="635"/>
      <c r="D25" s="635"/>
      <c r="E25" s="635"/>
      <c r="F25" s="641"/>
      <c r="G25" s="53"/>
      <c r="H25" s="53"/>
      <c r="I25" s="53"/>
      <c r="J25" s="53"/>
      <c r="K25" s="53"/>
    </row>
    <row r="26" spans="1:11" x14ac:dyDescent="0.25">
      <c r="A26" s="53"/>
      <c r="B26" s="913" t="s">
        <v>333</v>
      </c>
      <c r="C26" s="635"/>
      <c r="D26" s="635"/>
      <c r="E26" s="635"/>
      <c r="F26" s="641"/>
      <c r="G26" s="53"/>
      <c r="H26" s="53"/>
      <c r="I26" s="53"/>
      <c r="J26" s="53"/>
      <c r="K26" s="53"/>
    </row>
    <row r="27" spans="1:11" x14ac:dyDescent="0.25">
      <c r="A27" s="53"/>
      <c r="B27" s="913" t="s">
        <v>334</v>
      </c>
      <c r="C27" s="635"/>
      <c r="D27" s="635"/>
      <c r="E27" s="635"/>
      <c r="F27" s="641"/>
      <c r="G27" s="53"/>
      <c r="H27" s="53"/>
      <c r="I27" s="53"/>
      <c r="J27" s="53"/>
      <c r="K27" s="53"/>
    </row>
    <row r="28" spans="1:11" x14ac:dyDescent="0.25">
      <c r="A28" s="53"/>
      <c r="B28" s="913" t="s">
        <v>335</v>
      </c>
      <c r="C28" s="635"/>
      <c r="D28" s="635"/>
      <c r="E28" s="635"/>
      <c r="F28" s="641"/>
      <c r="G28" s="53"/>
      <c r="H28" s="53"/>
      <c r="I28" s="53"/>
      <c r="J28" s="53"/>
      <c r="K28" s="53"/>
    </row>
    <row r="29" spans="1:11" x14ac:dyDescent="0.25">
      <c r="A29" s="53"/>
      <c r="B29" s="913" t="s">
        <v>336</v>
      </c>
      <c r="C29" s="635"/>
      <c r="D29" s="635"/>
      <c r="E29" s="635"/>
      <c r="F29" s="641"/>
      <c r="G29" s="53"/>
      <c r="H29" s="53"/>
      <c r="I29" s="53"/>
      <c r="J29" s="53"/>
      <c r="K29" s="53"/>
    </row>
    <row r="30" spans="1:11" x14ac:dyDescent="0.25">
      <c r="A30" s="53"/>
      <c r="B30" s="913" t="s">
        <v>337</v>
      </c>
      <c r="C30" s="635"/>
      <c r="D30" s="635"/>
      <c r="E30" s="635"/>
      <c r="F30" s="641"/>
      <c r="G30" s="53"/>
      <c r="H30" s="53"/>
      <c r="I30" s="53"/>
      <c r="J30" s="53"/>
      <c r="K30" s="53"/>
    </row>
    <row r="31" spans="1:11" x14ac:dyDescent="0.25">
      <c r="A31" s="53"/>
      <c r="B31" s="913" t="s">
        <v>1152</v>
      </c>
      <c r="C31" s="635"/>
      <c r="D31" s="635"/>
      <c r="E31" s="635"/>
      <c r="F31" s="641"/>
      <c r="G31" s="53"/>
      <c r="H31" s="53"/>
      <c r="I31" s="53"/>
      <c r="J31" s="53"/>
      <c r="K31" s="53"/>
    </row>
    <row r="32" spans="1:11" x14ac:dyDescent="0.25">
      <c r="A32" s="53"/>
      <c r="B32" s="913" t="s">
        <v>338</v>
      </c>
      <c r="C32" s="635"/>
      <c r="D32" s="635"/>
      <c r="E32" s="635"/>
      <c r="F32" s="641"/>
      <c r="G32" s="53"/>
      <c r="H32" s="53"/>
      <c r="I32" s="53"/>
      <c r="J32" s="53"/>
      <c r="K32" s="53"/>
    </row>
    <row r="33" spans="1:14" x14ac:dyDescent="0.25">
      <c r="A33" s="53"/>
      <c r="B33" s="914" t="s">
        <v>339</v>
      </c>
      <c r="C33" s="643"/>
      <c r="D33" s="643"/>
      <c r="E33" s="643"/>
      <c r="F33" s="644"/>
      <c r="G33" s="53"/>
      <c r="H33" s="53"/>
      <c r="I33" s="53"/>
      <c r="J33" s="53"/>
      <c r="K33" s="53"/>
    </row>
    <row r="34" spans="1:14" x14ac:dyDescent="0.25">
      <c r="A34" s="53"/>
      <c r="B34" s="54"/>
      <c r="C34" s="54"/>
      <c r="D34" s="54"/>
      <c r="E34" s="54"/>
      <c r="F34" s="53"/>
      <c r="G34" s="53"/>
      <c r="H34" s="53"/>
      <c r="I34" s="53"/>
      <c r="J34" s="53"/>
      <c r="K34" s="53"/>
    </row>
    <row r="35" spans="1:14" x14ac:dyDescent="0.25">
      <c r="A35" s="53"/>
      <c r="B35" s="717" t="s">
        <v>1365</v>
      </c>
      <c r="C35" s="54"/>
      <c r="D35" s="54"/>
      <c r="E35" s="54"/>
      <c r="F35" s="53"/>
      <c r="G35" s="53"/>
      <c r="H35" s="53"/>
      <c r="I35" s="53"/>
      <c r="J35" s="53"/>
      <c r="K35" s="53"/>
    </row>
    <row r="36" spans="1:14" x14ac:dyDescent="0.25">
      <c r="A36" s="53"/>
      <c r="B36" s="54"/>
      <c r="C36" s="54"/>
      <c r="D36" s="54"/>
      <c r="E36" s="54"/>
      <c r="F36" s="53"/>
      <c r="G36" s="53"/>
      <c r="H36" s="53"/>
      <c r="I36" s="53"/>
      <c r="J36" s="53"/>
      <c r="K36" s="53"/>
    </row>
    <row r="37" spans="1:14" ht="18" customHeight="1" x14ac:dyDescent="0.25">
      <c r="A37" s="53"/>
      <c r="B37" s="1523" t="s">
        <v>1375</v>
      </c>
      <c r="C37" s="1523"/>
      <c r="D37" s="1523"/>
      <c r="E37" s="1116" t="s">
        <v>129</v>
      </c>
      <c r="F37" s="53"/>
      <c r="G37" s="53"/>
      <c r="H37" s="53"/>
      <c r="I37" s="53"/>
      <c r="J37" s="53"/>
      <c r="K37" s="53"/>
      <c r="L37" s="87" t="b">
        <v>0</v>
      </c>
      <c r="M37" s="87" t="b">
        <v>0</v>
      </c>
    </row>
    <row r="38" spans="1:14" x14ac:dyDescent="0.25">
      <c r="A38" s="53"/>
      <c r="B38" s="54"/>
      <c r="C38" s="54"/>
      <c r="D38" s="54"/>
      <c r="E38" s="54"/>
      <c r="F38" s="53"/>
      <c r="G38" s="53"/>
      <c r="H38" s="53"/>
      <c r="I38" s="53"/>
      <c r="J38" s="53"/>
      <c r="K38" s="53"/>
      <c r="L38" s="42" t="s">
        <v>154</v>
      </c>
      <c r="M38" s="42" t="s">
        <v>352</v>
      </c>
      <c r="N38" s="42" t="s">
        <v>348</v>
      </c>
    </row>
    <row r="39" spans="1:14" ht="15" customHeight="1" x14ac:dyDescent="0.25">
      <c r="A39" s="53"/>
      <c r="B39" s="2016" t="s">
        <v>1831</v>
      </c>
      <c r="C39" s="2017"/>
      <c r="D39" s="2017"/>
      <c r="E39" s="2017"/>
      <c r="F39" s="53"/>
      <c r="G39" s="53"/>
      <c r="H39" s="53"/>
      <c r="I39" s="53"/>
      <c r="J39" s="53"/>
      <c r="K39" s="53"/>
      <c r="L39" s="42" t="s">
        <v>129</v>
      </c>
      <c r="M39" s="42" t="s">
        <v>129</v>
      </c>
      <c r="N39" s="42" t="s">
        <v>129</v>
      </c>
    </row>
    <row r="40" spans="1:14" ht="10.5" customHeight="1" x14ac:dyDescent="0.25">
      <c r="A40" s="53"/>
      <c r="B40" s="736"/>
      <c r="C40" s="737"/>
      <c r="D40" s="737"/>
      <c r="E40" s="737"/>
      <c r="F40" s="53"/>
      <c r="G40" s="53"/>
      <c r="H40" s="53"/>
      <c r="I40" s="53"/>
      <c r="J40" s="53"/>
      <c r="K40" s="53"/>
      <c r="L40" s="42" t="s">
        <v>350</v>
      </c>
      <c r="M40" s="42" t="s">
        <v>351</v>
      </c>
      <c r="N40" s="42" t="s">
        <v>362</v>
      </c>
    </row>
    <row r="41" spans="1:14" ht="16.5" customHeight="1" x14ac:dyDescent="0.25">
      <c r="A41" s="53"/>
      <c r="B41" s="2011" t="s">
        <v>154</v>
      </c>
      <c r="C41" s="2011"/>
      <c r="D41" s="2012"/>
      <c r="E41" s="2012"/>
      <c r="F41" s="53"/>
      <c r="G41" s="53"/>
      <c r="H41" s="53"/>
      <c r="I41" s="53"/>
      <c r="J41" s="53"/>
      <c r="K41" s="53"/>
      <c r="L41" s="42" t="s">
        <v>367</v>
      </c>
      <c r="M41" s="42" t="s">
        <v>353</v>
      </c>
      <c r="N41" s="42" t="s">
        <v>363</v>
      </c>
    </row>
    <row r="42" spans="1:14" ht="16.5" customHeight="1" x14ac:dyDescent="0.25">
      <c r="A42" s="53"/>
      <c r="B42" s="2011" t="s">
        <v>342</v>
      </c>
      <c r="C42" s="2011"/>
      <c r="D42" s="2012" t="s">
        <v>129</v>
      </c>
      <c r="E42" s="2012"/>
      <c r="F42" s="53"/>
      <c r="G42" s="53"/>
      <c r="H42" s="53"/>
      <c r="I42" s="53"/>
      <c r="J42" s="53"/>
      <c r="K42" s="53"/>
      <c r="L42" s="84" t="s">
        <v>368</v>
      </c>
      <c r="M42" s="42" t="s">
        <v>354</v>
      </c>
      <c r="N42" s="42" t="s">
        <v>364</v>
      </c>
    </row>
    <row r="43" spans="1:14" ht="16.5" customHeight="1" x14ac:dyDescent="0.25">
      <c r="A43" s="53"/>
      <c r="B43" s="2011" t="s">
        <v>343</v>
      </c>
      <c r="C43" s="2011"/>
      <c r="D43" s="2012" t="s">
        <v>129</v>
      </c>
      <c r="E43" s="2012"/>
      <c r="F43" s="53"/>
      <c r="G43" s="53"/>
      <c r="H43" s="53"/>
      <c r="I43" s="53"/>
      <c r="J43" s="53"/>
      <c r="K43" s="53"/>
      <c r="L43" s="42" t="s">
        <v>369</v>
      </c>
      <c r="M43" s="42" t="s">
        <v>355</v>
      </c>
      <c r="N43" s="42" t="s">
        <v>366</v>
      </c>
    </row>
    <row r="44" spans="1:14" ht="16.5" customHeight="1" x14ac:dyDescent="0.25">
      <c r="A44" s="53"/>
      <c r="B44" s="2011" t="s">
        <v>344</v>
      </c>
      <c r="C44" s="2011"/>
      <c r="D44" s="2012" t="s">
        <v>129</v>
      </c>
      <c r="E44" s="2012"/>
      <c r="F44" s="53"/>
      <c r="G44" s="53"/>
      <c r="H44" s="53"/>
      <c r="I44" s="53"/>
      <c r="J44" s="53"/>
      <c r="K44" s="53"/>
      <c r="L44" s="42" t="s">
        <v>370</v>
      </c>
      <c r="M44" s="42" t="s">
        <v>356</v>
      </c>
      <c r="N44" s="42" t="s">
        <v>365</v>
      </c>
    </row>
    <row r="45" spans="1:14" ht="16.5" customHeight="1" x14ac:dyDescent="0.25">
      <c r="A45" s="53"/>
      <c r="B45" s="2011" t="s">
        <v>345</v>
      </c>
      <c r="C45" s="2011"/>
      <c r="D45" s="2012" t="s">
        <v>129</v>
      </c>
      <c r="E45" s="2012"/>
      <c r="F45" s="53"/>
      <c r="G45" s="53"/>
      <c r="H45" s="53"/>
      <c r="I45" s="53"/>
      <c r="J45" s="53"/>
      <c r="K45" s="53"/>
      <c r="L45" s="84" t="s">
        <v>371</v>
      </c>
      <c r="M45" s="42" t="s">
        <v>357</v>
      </c>
    </row>
    <row r="46" spans="1:14" ht="16.5" customHeight="1" x14ac:dyDescent="0.25">
      <c r="A46" s="53"/>
      <c r="B46" s="2011" t="s">
        <v>346</v>
      </c>
      <c r="C46" s="2011"/>
      <c r="D46" s="2012" t="s">
        <v>129</v>
      </c>
      <c r="E46" s="2012"/>
      <c r="F46" s="53"/>
      <c r="G46" s="53"/>
      <c r="H46" s="53"/>
      <c r="I46" s="53"/>
      <c r="J46" s="53"/>
      <c r="K46" s="53"/>
      <c r="L46" s="42" t="s">
        <v>372</v>
      </c>
      <c r="M46" s="42" t="s">
        <v>358</v>
      </c>
    </row>
    <row r="47" spans="1:14" ht="16.5" customHeight="1" x14ac:dyDescent="0.25">
      <c r="A47" s="53"/>
      <c r="B47" s="2011" t="s">
        <v>348</v>
      </c>
      <c r="C47" s="2011"/>
      <c r="D47" s="2012" t="s">
        <v>129</v>
      </c>
      <c r="E47" s="2012"/>
      <c r="F47" s="53"/>
      <c r="G47" s="53"/>
      <c r="H47" s="53"/>
      <c r="I47" s="53"/>
      <c r="J47" s="53"/>
      <c r="K47" s="53"/>
      <c r="L47" s="42" t="s">
        <v>373</v>
      </c>
      <c r="M47" s="42" t="s">
        <v>359</v>
      </c>
    </row>
    <row r="48" spans="1:14" ht="36" customHeight="1" x14ac:dyDescent="0.25">
      <c r="A48" s="53"/>
      <c r="B48" s="2011" t="s">
        <v>347</v>
      </c>
      <c r="C48" s="2011"/>
      <c r="D48" s="2010"/>
      <c r="E48" s="2010"/>
      <c r="F48" s="2010"/>
      <c r="G48" s="2010"/>
      <c r="H48" s="2010"/>
      <c r="I48" s="53"/>
      <c r="J48" s="53"/>
      <c r="K48" s="53"/>
      <c r="M48" s="42" t="s">
        <v>360</v>
      </c>
    </row>
    <row r="49" spans="1:13" ht="36" customHeight="1" x14ac:dyDescent="0.25">
      <c r="A49" s="53"/>
      <c r="B49" s="2011" t="s">
        <v>349</v>
      </c>
      <c r="C49" s="2011"/>
      <c r="D49" s="2014"/>
      <c r="E49" s="2015"/>
      <c r="F49" s="2015"/>
      <c r="G49" s="2015"/>
      <c r="H49" s="2015"/>
      <c r="I49" s="53"/>
      <c r="J49" s="53"/>
      <c r="K49" s="53"/>
      <c r="M49" s="42" t="s">
        <v>361</v>
      </c>
    </row>
    <row r="50" spans="1:13" ht="18" customHeight="1" x14ac:dyDescent="0.25">
      <c r="A50" s="53"/>
      <c r="B50" s="54"/>
      <c r="C50" s="54"/>
      <c r="D50" s="54"/>
      <c r="E50" s="54"/>
      <c r="F50" s="53"/>
      <c r="G50" s="53"/>
      <c r="H50" s="53"/>
      <c r="I50" s="53"/>
      <c r="J50" s="53"/>
      <c r="K50" s="53"/>
    </row>
    <row r="51" spans="1:13" ht="18" customHeight="1" x14ac:dyDescent="0.25">
      <c r="A51" s="53"/>
      <c r="B51" s="1987" t="s">
        <v>1830</v>
      </c>
      <c r="C51" s="1987"/>
      <c r="D51" s="86" t="str">
        <f>IF(OR(E38="Yes",AND(COUNTIF(D41:E47,"Select")=0,COUNTBLANK(D48:D49)=0)),"Yes","No")</f>
        <v>No</v>
      </c>
      <c r="E51" s="54"/>
      <c r="F51" s="53"/>
      <c r="G51" s="53"/>
      <c r="H51" s="53"/>
      <c r="I51" s="53"/>
      <c r="J51" s="53"/>
      <c r="K51" s="53"/>
    </row>
    <row r="52" spans="1:13" ht="18" customHeight="1" x14ac:dyDescent="0.25">
      <c r="A52" s="53"/>
      <c r="B52" s="54"/>
      <c r="C52" s="54"/>
      <c r="D52" s="54"/>
      <c r="E52" s="54"/>
      <c r="F52" s="53"/>
      <c r="G52" s="53"/>
      <c r="H52" s="53"/>
      <c r="I52" s="53"/>
      <c r="J52" s="53"/>
      <c r="K52" s="53"/>
    </row>
    <row r="53" spans="1:13" ht="16.5" customHeight="1" x14ac:dyDescent="0.25">
      <c r="A53" s="1986" t="s">
        <v>200</v>
      </c>
      <c r="B53" s="1986"/>
      <c r="C53" s="1986"/>
      <c r="D53" s="54"/>
      <c r="E53" s="54"/>
      <c r="F53" s="53"/>
      <c r="G53" s="53"/>
      <c r="H53" s="53"/>
      <c r="I53" s="53"/>
      <c r="J53" s="53"/>
      <c r="K53" s="53"/>
    </row>
    <row r="54" spans="1:13" ht="12.75" customHeight="1" x14ac:dyDescent="0.25">
      <c r="A54" s="53"/>
      <c r="B54" s="54"/>
      <c r="C54" s="54"/>
      <c r="D54" s="54"/>
      <c r="E54" s="54"/>
      <c r="F54" s="53"/>
      <c r="G54" s="53"/>
      <c r="H54" s="53"/>
      <c r="I54" s="53"/>
      <c r="J54" s="53"/>
      <c r="K54" s="53"/>
    </row>
    <row r="55" spans="1:13" ht="18" customHeight="1" x14ac:dyDescent="0.25">
      <c r="A55" s="53"/>
      <c r="B55" s="1998" t="s">
        <v>2103</v>
      </c>
      <c r="C55" s="1999"/>
      <c r="D55" s="1999"/>
      <c r="E55" s="1999"/>
      <c r="F55" s="1999"/>
      <c r="G55" s="1077" t="s">
        <v>2101</v>
      </c>
      <c r="H55" s="2000" t="s">
        <v>2102</v>
      </c>
      <c r="I55" s="2001"/>
      <c r="J55" s="53"/>
      <c r="K55" s="53"/>
    </row>
    <row r="56" spans="1:13" ht="24" customHeight="1" x14ac:dyDescent="0.25">
      <c r="A56" s="53"/>
      <c r="B56" s="1436" t="s">
        <v>1360</v>
      </c>
      <c r="C56" s="1437"/>
      <c r="D56" s="1437"/>
      <c r="E56" s="1437"/>
      <c r="F56" s="1438"/>
      <c r="G56" s="518" t="s">
        <v>129</v>
      </c>
      <c r="H56" s="1730"/>
      <c r="I56" s="1729"/>
      <c r="J56" s="53"/>
      <c r="K56" s="53"/>
    </row>
    <row r="57" spans="1:13" ht="24" customHeight="1" x14ac:dyDescent="0.25">
      <c r="A57" s="53"/>
      <c r="B57" s="1436" t="s">
        <v>1361</v>
      </c>
      <c r="C57" s="1437"/>
      <c r="D57" s="1437"/>
      <c r="E57" s="1437"/>
      <c r="F57" s="1438"/>
      <c r="G57" s="518" t="s">
        <v>129</v>
      </c>
      <c r="H57" s="1730"/>
      <c r="I57" s="1729"/>
      <c r="J57" s="53"/>
      <c r="K57" s="53"/>
    </row>
    <row r="58" spans="1:13" x14ac:dyDescent="0.25">
      <c r="A58" s="53"/>
      <c r="B58" s="54"/>
      <c r="C58" s="54"/>
      <c r="D58" s="54"/>
      <c r="E58" s="54"/>
      <c r="F58" s="53"/>
      <c r="G58" s="53"/>
      <c r="H58" s="53"/>
      <c r="I58" s="85"/>
      <c r="J58" s="53"/>
      <c r="K58" s="53"/>
    </row>
    <row r="59" spans="1:13" ht="16.5" customHeight="1" x14ac:dyDescent="0.25">
      <c r="A59" s="1986" t="s">
        <v>25</v>
      </c>
      <c r="B59" s="1986"/>
      <c r="C59" s="1986"/>
      <c r="D59" s="54"/>
      <c r="E59" s="54"/>
      <c r="F59" s="54"/>
      <c r="G59" s="54"/>
      <c r="H59" s="54"/>
      <c r="I59" s="54"/>
      <c r="J59" s="53"/>
      <c r="K59" s="53"/>
    </row>
    <row r="60" spans="1:13" x14ac:dyDescent="0.25">
      <c r="A60" s="53"/>
      <c r="B60" s="54"/>
      <c r="C60" s="54"/>
      <c r="D60" s="54"/>
      <c r="E60" s="54"/>
      <c r="F60" s="53"/>
      <c r="G60" s="53"/>
      <c r="H60" s="53"/>
      <c r="I60" s="53"/>
      <c r="J60" s="53"/>
      <c r="K60" s="53"/>
    </row>
    <row r="61" spans="1:13" ht="18" customHeight="1" x14ac:dyDescent="0.25">
      <c r="A61" s="53"/>
      <c r="B61" s="247" t="s">
        <v>56</v>
      </c>
      <c r="C61" s="1193">
        <f>IF(OR(L37=TRUE,AND(COUNTIF(D41:E47,"Select")=0,COUNTBLANK(D41:D49)=0)),1,0)</f>
        <v>0</v>
      </c>
      <c r="D61" s="54"/>
      <c r="E61" s="53"/>
      <c r="F61" s="53"/>
      <c r="G61" s="53"/>
      <c r="H61" s="53"/>
      <c r="I61" s="53"/>
      <c r="J61" s="53"/>
      <c r="K61" s="53"/>
    </row>
    <row r="62" spans="1:13" ht="18" customHeight="1" x14ac:dyDescent="0.25">
      <c r="A62" s="53"/>
      <c r="B62" s="273" t="s">
        <v>521</v>
      </c>
      <c r="C62" s="1193" t="str">
        <f>IF(AND(COUNTIF(G56:G57,"Submitted")=2,C61&gt;0),"Yes","No")</f>
        <v>No</v>
      </c>
      <c r="D62" s="54"/>
      <c r="E62" s="54"/>
      <c r="F62" s="53"/>
      <c r="G62" s="53"/>
      <c r="H62" s="53"/>
      <c r="I62" s="53"/>
      <c r="J62" s="53"/>
      <c r="K62" s="53"/>
    </row>
    <row r="63" spans="1:13" ht="12" customHeight="1" x14ac:dyDescent="0.25">
      <c r="A63" s="53"/>
      <c r="B63" s="53"/>
      <c r="C63" s="53"/>
      <c r="D63" s="53"/>
      <c r="E63" s="54"/>
      <c r="F63" s="53"/>
      <c r="G63" s="53"/>
      <c r="H63" s="53"/>
      <c r="I63" s="53"/>
      <c r="J63" s="53"/>
      <c r="K63" s="53"/>
    </row>
    <row r="64" spans="1:13" ht="12" customHeight="1" x14ac:dyDescent="0.25">
      <c r="A64" s="53"/>
      <c r="B64" s="54"/>
      <c r="C64" s="54"/>
      <c r="D64" s="54"/>
      <c r="E64" s="54"/>
      <c r="F64" s="53"/>
      <c r="G64" s="53"/>
      <c r="H64" s="53"/>
      <c r="I64" s="53"/>
      <c r="J64" s="53"/>
      <c r="K64" s="53"/>
    </row>
    <row r="65" spans="1:11" ht="18" customHeight="1" x14ac:dyDescent="0.25">
      <c r="A65" s="1974" t="s">
        <v>328</v>
      </c>
      <c r="B65" s="1974"/>
      <c r="C65" s="1974"/>
      <c r="D65" s="1974"/>
      <c r="E65" s="1974"/>
      <c r="F65" s="1974"/>
      <c r="G65" s="1974"/>
      <c r="H65" s="1974"/>
      <c r="I65" s="1974"/>
      <c r="J65" s="1974"/>
      <c r="K65" s="1974"/>
    </row>
    <row r="66" spans="1:11" x14ac:dyDescent="0.25">
      <c r="A66" s="53"/>
      <c r="B66" s="54"/>
      <c r="C66" s="54"/>
      <c r="D66" s="54"/>
      <c r="E66" s="54"/>
      <c r="F66" s="53"/>
      <c r="G66" s="53"/>
      <c r="H66" s="53"/>
      <c r="I66" s="53"/>
      <c r="J66" s="53"/>
      <c r="K66" s="53"/>
    </row>
    <row r="67" spans="1:11" ht="16.5" customHeight="1" x14ac:dyDescent="0.25">
      <c r="A67" s="1986" t="s">
        <v>265</v>
      </c>
      <c r="B67" s="1986"/>
      <c r="C67" s="1986"/>
      <c r="D67" s="54"/>
      <c r="E67" s="54"/>
      <c r="F67" s="53"/>
      <c r="G67" s="53"/>
      <c r="H67" s="53"/>
      <c r="I67" s="53"/>
      <c r="J67" s="53"/>
      <c r="K67" s="53"/>
    </row>
    <row r="68" spans="1:11" x14ac:dyDescent="0.25">
      <c r="A68" s="53"/>
      <c r="B68" s="54"/>
      <c r="C68" s="54"/>
      <c r="D68" s="54"/>
      <c r="E68" s="54"/>
      <c r="F68" s="53"/>
      <c r="G68" s="53"/>
      <c r="H68" s="53"/>
      <c r="I68" s="53"/>
      <c r="J68" s="53"/>
      <c r="K68" s="53"/>
    </row>
    <row r="69" spans="1:11" x14ac:dyDescent="0.25">
      <c r="A69" s="53"/>
      <c r="B69" s="740" t="s">
        <v>2017</v>
      </c>
      <c r="C69" s="54"/>
      <c r="D69" s="54"/>
      <c r="E69" s="54"/>
      <c r="F69" s="53"/>
      <c r="G69" s="53"/>
      <c r="H69" s="53"/>
      <c r="I69" s="53"/>
      <c r="J69" s="53"/>
      <c r="K69" s="53"/>
    </row>
    <row r="70" spans="1:11" x14ac:dyDescent="0.25">
      <c r="A70" s="53"/>
      <c r="B70" s="54"/>
      <c r="C70" s="54"/>
      <c r="D70" s="54"/>
      <c r="E70" s="54"/>
      <c r="F70" s="53"/>
      <c r="G70" s="53"/>
      <c r="H70" s="53"/>
      <c r="I70" s="53"/>
      <c r="J70" s="53"/>
      <c r="K70" s="53"/>
    </row>
    <row r="71" spans="1:11" ht="16.5" customHeight="1" x14ac:dyDescent="0.25">
      <c r="A71" s="1986" t="s">
        <v>26</v>
      </c>
      <c r="B71" s="1986"/>
      <c r="C71" s="1986"/>
      <c r="D71" s="54"/>
      <c r="E71" s="54"/>
      <c r="F71" s="53"/>
      <c r="G71" s="53"/>
      <c r="H71" s="53"/>
      <c r="I71" s="53"/>
      <c r="J71" s="53"/>
      <c r="K71" s="53"/>
    </row>
    <row r="72" spans="1:11" ht="12" customHeight="1" x14ac:dyDescent="0.25">
      <c r="A72" s="53"/>
      <c r="B72" s="54"/>
      <c r="C72" s="54"/>
      <c r="D72" s="54"/>
      <c r="E72" s="54"/>
      <c r="F72" s="53"/>
      <c r="G72" s="53"/>
      <c r="H72" s="53"/>
      <c r="I72" s="53"/>
      <c r="J72" s="53"/>
      <c r="K72" s="53"/>
    </row>
    <row r="73" spans="1:11" ht="12" customHeight="1" x14ac:dyDescent="0.25">
      <c r="A73" s="53"/>
      <c r="B73" s="717" t="s">
        <v>2012</v>
      </c>
      <c r="C73" s="54"/>
      <c r="D73" s="54"/>
      <c r="E73" s="54"/>
      <c r="F73" s="53"/>
      <c r="G73" s="53"/>
      <c r="H73" s="53"/>
      <c r="I73" s="53"/>
      <c r="J73" s="53"/>
      <c r="K73" s="53"/>
    </row>
    <row r="74" spans="1:11" ht="12" customHeight="1" x14ac:dyDescent="0.25">
      <c r="A74" s="53"/>
      <c r="B74" s="54"/>
      <c r="C74" s="54"/>
      <c r="D74" s="54"/>
      <c r="E74" s="54"/>
      <c r="F74" s="53"/>
      <c r="G74" s="53"/>
      <c r="H74" s="53"/>
      <c r="I74" s="53"/>
      <c r="J74" s="53"/>
      <c r="K74" s="53"/>
    </row>
    <row r="75" spans="1:11" ht="18" customHeight="1" x14ac:dyDescent="0.25">
      <c r="A75" s="53"/>
      <c r="B75" s="2013" t="s">
        <v>153</v>
      </c>
      <c r="C75" s="2013"/>
      <c r="D75" s="186"/>
      <c r="E75" s="1016" t="str">
        <f>IF(D75="","",IF(D75&lt;&gt;'Project information'!C24,"This value doesn't match with value in Project Information sheet",""))</f>
        <v/>
      </c>
      <c r="F75" s="53"/>
      <c r="G75" s="53"/>
      <c r="H75" s="53"/>
      <c r="I75" s="53"/>
      <c r="J75" s="53"/>
      <c r="K75" s="53"/>
    </row>
    <row r="76" spans="1:11" ht="18" customHeight="1" x14ac:dyDescent="0.25">
      <c r="A76" s="53"/>
      <c r="B76" s="2013" t="s">
        <v>315</v>
      </c>
      <c r="C76" s="2013"/>
      <c r="D76" s="186"/>
      <c r="E76" s="1016" t="str">
        <f>IF(D76="","",IF(D76&lt;&gt;'Project information'!C25,"This value doesn't match with value in Project Information sheet",""))</f>
        <v/>
      </c>
      <c r="F76" s="53"/>
      <c r="G76" s="53"/>
      <c r="H76" s="53"/>
      <c r="I76" s="53"/>
      <c r="J76" s="53"/>
      <c r="K76" s="53"/>
    </row>
    <row r="77" spans="1:11" ht="18" customHeight="1" x14ac:dyDescent="0.25">
      <c r="A77" s="53"/>
      <c r="B77" s="2013" t="s">
        <v>2016</v>
      </c>
      <c r="C77" s="2013"/>
      <c r="D77" s="186"/>
      <c r="E77" s="1016"/>
      <c r="F77" s="53"/>
      <c r="G77" s="53"/>
      <c r="H77" s="53"/>
      <c r="I77" s="53"/>
      <c r="J77" s="53"/>
      <c r="K77" s="53"/>
    </row>
    <row r="78" spans="1:11" x14ac:dyDescent="0.25">
      <c r="A78" s="53"/>
      <c r="B78" s="54"/>
      <c r="C78" s="54"/>
      <c r="D78" s="54"/>
      <c r="E78" s="54"/>
      <c r="F78" s="53"/>
      <c r="G78" s="53"/>
      <c r="H78" s="53"/>
      <c r="I78" s="53"/>
      <c r="J78" s="53"/>
      <c r="K78" s="53"/>
    </row>
    <row r="79" spans="1:11" ht="18.75" customHeight="1" x14ac:dyDescent="0.25">
      <c r="A79" s="53"/>
      <c r="B79" s="1987" t="s">
        <v>2018</v>
      </c>
      <c r="C79" s="1987"/>
      <c r="D79" s="86" t="str">
        <f>IFERROR((D75-D77-D76)/D75,"")</f>
        <v/>
      </c>
      <c r="E79" s="73"/>
      <c r="F79" s="53"/>
      <c r="G79" s="53"/>
      <c r="H79" s="53"/>
      <c r="I79" s="53"/>
      <c r="J79" s="53"/>
      <c r="K79" s="53"/>
    </row>
    <row r="80" spans="1:11" x14ac:dyDescent="0.25">
      <c r="A80" s="53"/>
      <c r="B80" s="54"/>
      <c r="C80" s="54"/>
      <c r="D80" s="54"/>
      <c r="E80" s="54"/>
      <c r="F80" s="53"/>
      <c r="G80" s="53"/>
      <c r="H80" s="53"/>
      <c r="I80" s="53"/>
      <c r="J80" s="53"/>
      <c r="K80" s="53"/>
    </row>
    <row r="81" spans="1:11" ht="16.5" customHeight="1" x14ac:dyDescent="0.25">
      <c r="A81" s="1986" t="s">
        <v>200</v>
      </c>
      <c r="B81" s="1986"/>
      <c r="C81" s="1986"/>
      <c r="D81" s="54"/>
      <c r="E81" s="54"/>
      <c r="F81" s="53"/>
      <c r="G81" s="53"/>
      <c r="H81" s="53"/>
      <c r="I81" s="53"/>
      <c r="J81" s="53"/>
      <c r="K81" s="53"/>
    </row>
    <row r="82" spans="1:11" x14ac:dyDescent="0.25">
      <c r="A82" s="53"/>
      <c r="B82" s="54"/>
      <c r="C82" s="54"/>
      <c r="D82" s="54"/>
      <c r="E82" s="54"/>
      <c r="F82" s="53"/>
      <c r="G82" s="53"/>
      <c r="H82" s="53"/>
      <c r="I82" s="53"/>
      <c r="J82" s="53"/>
      <c r="K82" s="53"/>
    </row>
    <row r="83" spans="1:11" ht="18" customHeight="1" x14ac:dyDescent="0.25">
      <c r="A83" s="53"/>
      <c r="B83" s="1998" t="s">
        <v>2103</v>
      </c>
      <c r="C83" s="1999"/>
      <c r="D83" s="1999"/>
      <c r="E83" s="1999"/>
      <c r="F83" s="1999"/>
      <c r="G83" s="1077" t="s">
        <v>2101</v>
      </c>
      <c r="H83" s="2000" t="s">
        <v>2102</v>
      </c>
      <c r="I83" s="2001"/>
      <c r="J83" s="53"/>
      <c r="K83" s="53"/>
    </row>
    <row r="84" spans="1:11" ht="24" customHeight="1" x14ac:dyDescent="0.25">
      <c r="A84" s="53"/>
      <c r="B84" s="1436" t="s">
        <v>2019</v>
      </c>
      <c r="C84" s="1437"/>
      <c r="D84" s="1437"/>
      <c r="E84" s="1437"/>
      <c r="F84" s="1438"/>
      <c r="G84" s="518" t="s">
        <v>129</v>
      </c>
      <c r="H84" s="1730"/>
      <c r="I84" s="1729"/>
      <c r="J84" s="53"/>
      <c r="K84" s="53"/>
    </row>
    <row r="85" spans="1:11" ht="24" customHeight="1" x14ac:dyDescent="0.25">
      <c r="A85" s="53"/>
      <c r="B85" s="1436" t="s">
        <v>1359</v>
      </c>
      <c r="C85" s="1437"/>
      <c r="D85" s="1437"/>
      <c r="E85" s="1437"/>
      <c r="F85" s="1438"/>
      <c r="G85" s="518" t="s">
        <v>129</v>
      </c>
      <c r="H85" s="1730"/>
      <c r="I85" s="1729"/>
      <c r="J85" s="53"/>
      <c r="K85" s="53"/>
    </row>
    <row r="86" spans="1:11" ht="18" customHeight="1" x14ac:dyDescent="0.25">
      <c r="A86" s="53"/>
      <c r="B86" s="54"/>
      <c r="C86" s="54"/>
      <c r="D86" s="54"/>
      <c r="E86" s="54"/>
      <c r="F86" s="53"/>
      <c r="G86" s="53"/>
      <c r="H86" s="53"/>
      <c r="I86" s="85"/>
      <c r="J86" s="53"/>
      <c r="K86" s="53"/>
    </row>
    <row r="87" spans="1:11" ht="16.5" customHeight="1" x14ac:dyDescent="0.25">
      <c r="A87" s="1986" t="s">
        <v>25</v>
      </c>
      <c r="B87" s="1986"/>
      <c r="C87" s="1986"/>
      <c r="D87" s="54"/>
      <c r="E87" s="54"/>
      <c r="F87" s="54"/>
      <c r="G87" s="54"/>
      <c r="H87" s="54"/>
      <c r="I87" s="54"/>
      <c r="J87" s="53"/>
      <c r="K87" s="53"/>
    </row>
    <row r="88" spans="1:11" x14ac:dyDescent="0.25">
      <c r="A88" s="53"/>
      <c r="B88" s="54"/>
      <c r="C88" s="54"/>
      <c r="D88" s="54"/>
      <c r="E88" s="54"/>
      <c r="F88" s="53"/>
      <c r="G88" s="53"/>
      <c r="H88" s="53"/>
      <c r="I88" s="53"/>
      <c r="J88" s="53"/>
      <c r="K88" s="53"/>
    </row>
    <row r="89" spans="1:11" ht="18" customHeight="1" x14ac:dyDescent="0.25">
      <c r="A89" s="53"/>
      <c r="B89" s="269" t="s">
        <v>56</v>
      </c>
      <c r="C89" s="1193">
        <f>IF(D79="",0,IF(D79&gt;=0.2,1,0))</f>
        <v>0</v>
      </c>
      <c r="D89" s="54"/>
      <c r="E89" s="53"/>
      <c r="F89" s="53"/>
      <c r="G89" s="53"/>
      <c r="H89" s="53"/>
      <c r="I89" s="53"/>
      <c r="J89" s="53"/>
      <c r="K89" s="53"/>
    </row>
    <row r="90" spans="1:11" ht="18" customHeight="1" x14ac:dyDescent="0.25">
      <c r="A90" s="53"/>
      <c r="B90" s="273" t="s">
        <v>521</v>
      </c>
      <c r="C90" s="1193" t="str">
        <f>IF(AND(COUNTIF(G84:G85,"Submitted")=2,C89&gt;0),"Yes","No")</f>
        <v>No</v>
      </c>
      <c r="D90" s="54"/>
      <c r="E90" s="54"/>
      <c r="F90" s="53"/>
      <c r="G90" s="53"/>
      <c r="H90" s="53"/>
      <c r="I90" s="53"/>
      <c r="J90" s="53"/>
      <c r="K90" s="53"/>
    </row>
    <row r="91" spans="1:11" x14ac:dyDescent="0.25">
      <c r="A91" s="53"/>
      <c r="B91" s="54"/>
      <c r="C91" s="54"/>
      <c r="D91" s="54"/>
      <c r="E91" s="54"/>
      <c r="F91" s="53"/>
      <c r="G91" s="53"/>
      <c r="H91" s="53"/>
      <c r="I91" s="53"/>
      <c r="J91" s="53"/>
      <c r="K91" s="53"/>
    </row>
    <row r="92" spans="1:11" hidden="1" x14ac:dyDescent="0.25"/>
    <row r="93" spans="1:11" hidden="1" x14ac:dyDescent="0.25"/>
    <row r="94" spans="1:11" hidden="1" x14ac:dyDescent="0.25"/>
    <row r="95" spans="1:11" hidden="1" x14ac:dyDescent="0.25"/>
    <row r="96" spans="1:11" hidden="1" x14ac:dyDescent="0.25"/>
  </sheetData>
  <sheetProtection algorithmName="SHA-512" hashValue="+et3PJEV1l0bzqmC/R2EBGcLMUbKzvKHxlb809wXx9VxtFOuM1NL8/cEYYYgXbZ/UyOU7ZdxNxhXjs3HBf8i5A==" saltValue="Q8v+Xym5xzMGqaBa/72X+g==" spinCount="100000" sheet="1" objects="1" scenarios="1"/>
  <mergeCells count="54">
    <mergeCell ref="A9:K9"/>
    <mergeCell ref="A16:K16"/>
    <mergeCell ref="A65:K65"/>
    <mergeCell ref="H83:I83"/>
    <mergeCell ref="H84:I84"/>
    <mergeCell ref="D46:E46"/>
    <mergeCell ref="B12:E12"/>
    <mergeCell ref="B11:E11"/>
    <mergeCell ref="B13:E13"/>
    <mergeCell ref="B41:C41"/>
    <mergeCell ref="D41:E41"/>
    <mergeCell ref="B37:D37"/>
    <mergeCell ref="B39:E39"/>
    <mergeCell ref="A18:C18"/>
    <mergeCell ref="B14:E14"/>
    <mergeCell ref="H85:I85"/>
    <mergeCell ref="H56:I56"/>
    <mergeCell ref="H57:I57"/>
    <mergeCell ref="D49:H49"/>
    <mergeCell ref="B75:C75"/>
    <mergeCell ref="B76:C76"/>
    <mergeCell ref="B79:C79"/>
    <mergeCell ref="A67:C67"/>
    <mergeCell ref="A53:C53"/>
    <mergeCell ref="A71:C71"/>
    <mergeCell ref="A59:C59"/>
    <mergeCell ref="B49:C49"/>
    <mergeCell ref="B51:C51"/>
    <mergeCell ref="B55:F55"/>
    <mergeCell ref="H55:I55"/>
    <mergeCell ref="A87:C87"/>
    <mergeCell ref="A81:C81"/>
    <mergeCell ref="B84:F84"/>
    <mergeCell ref="B85:F85"/>
    <mergeCell ref="B56:F56"/>
    <mergeCell ref="B57:F57"/>
    <mergeCell ref="B77:C77"/>
    <mergeCell ref="B83:F83"/>
    <mergeCell ref="A1:K1"/>
    <mergeCell ref="D48:H48"/>
    <mergeCell ref="G2:H4"/>
    <mergeCell ref="A5:K7"/>
    <mergeCell ref="B47:C47"/>
    <mergeCell ref="D42:E42"/>
    <mergeCell ref="D47:E47"/>
    <mergeCell ref="B42:C42"/>
    <mergeCell ref="B43:C43"/>
    <mergeCell ref="B44:C44"/>
    <mergeCell ref="B45:C45"/>
    <mergeCell ref="B46:C46"/>
    <mergeCell ref="B48:C48"/>
    <mergeCell ref="D43:E43"/>
    <mergeCell ref="D44:E44"/>
    <mergeCell ref="D45:E45"/>
  </mergeCells>
  <conditionalFormatting sqref="G56">
    <cfRule type="expression" dxfId="64" priority="7">
      <formula>#REF!&lt;&gt;"Prescriptive Path"</formula>
    </cfRule>
  </conditionalFormatting>
  <conditionalFormatting sqref="G57">
    <cfRule type="expression" dxfId="63" priority="6">
      <formula>#REF!&lt;&gt;"Prescriptive Path"</formula>
    </cfRule>
  </conditionalFormatting>
  <conditionalFormatting sqref="G84:G85">
    <cfRule type="expression" dxfId="62" priority="5">
      <formula>#REF!&lt;&gt;"Prescriptive Path"</formula>
    </cfRule>
  </conditionalFormatting>
  <conditionalFormatting sqref="H55:I55">
    <cfRule type="expression" dxfId="61" priority="4">
      <formula>#REF!&lt;&gt;"Prescriptive Path"</formula>
    </cfRule>
  </conditionalFormatting>
  <conditionalFormatting sqref="H83:I83">
    <cfRule type="expression" dxfId="60" priority="3">
      <formula>#REF!&lt;&gt;"Prescriptive Path"</formula>
    </cfRule>
  </conditionalFormatting>
  <conditionalFormatting sqref="H84:H85">
    <cfRule type="expression" dxfId="59" priority="2">
      <formula>#REF!&lt;&gt;"Prescriptive Path"</formula>
    </cfRule>
  </conditionalFormatting>
  <conditionalFormatting sqref="H56:H57">
    <cfRule type="expression" dxfId="58" priority="1">
      <formula>#REF!&lt;&gt;"Prescriptive Path"</formula>
    </cfRule>
  </conditionalFormatting>
  <dataValidations count="7">
    <dataValidation allowBlank="1" showInputMessage="1" showErrorMessage="1" prompt="Insert area in m2" sqref="D41:E41"/>
    <dataValidation allowBlank="1" showInputMessage="1" showErrorMessage="1" prompt="Free text" sqref="D48:D49"/>
    <dataValidation type="list" allowBlank="1" showInputMessage="1" showErrorMessage="1" sqref="G56:G57 G84:G85">
      <formula1>"Submitted,Not submitted"</formula1>
    </dataValidation>
    <dataValidation type="list" allowBlank="1" showInputMessage="1" showErrorMessage="1" prompt="Select" sqref="D47:E47">
      <formula1>$N$39:$N$44</formula1>
    </dataValidation>
    <dataValidation type="list" allowBlank="1" showInputMessage="1" showErrorMessage="1" prompt="Select" sqref="D42:E42">
      <formula1>$L$39:$L$47</formula1>
    </dataValidation>
    <dataValidation type="list" allowBlank="1" showInputMessage="1" showErrorMessage="1" prompt="Select" sqref="D43:E46">
      <formula1>$M$39:$M$49</formula1>
    </dataValidation>
    <dataValidation type="list" allowBlank="1" showInputMessage="1" showErrorMessage="1" sqref="E37">
      <formula1>"Select,Yes,No"</formula1>
    </dataValidation>
  </dataValidations>
  <hyperlinks>
    <hyperlink ref="K2" location="'LE-8 Waste Management'!E3" tooltip="LE-8" display="LE-8"/>
    <hyperlink ref="K3" location="'LE BPC'!E3" tooltip="BPC" display="BPC"/>
    <hyperlink ref="J2" location="'LE-5 Storm Water Runoff'!E3" tooltip="LE-5" display="LE-5"/>
    <hyperlink ref="J4" location="'LE-7 Refrigerants'!E3" tooltip="LE-7" display="LE-7"/>
    <hyperlink ref="I2" location="'LE-1 Site Selection'!B3" tooltip="LE-1" display="LE-1"/>
    <hyperlink ref="I4" location="'LE-4 Heat Island Effect'!E3" tooltip="LE-4" display="LE-4"/>
    <hyperlink ref="I3" location="'LE-3 Vegetation'!D3" tooltip="LE-3" display="LE-3"/>
    <hyperlink ref="J3" location="'LE-6 Flood Risk Mitigation'!E3" tooltip="LE-6" display="LE-6"/>
  </hyperlinks>
  <pageMargins left="0.7" right="0.7" top="0.75" bottom="0.75" header="0.3" footer="0.3"/>
  <pageSetup orientation="portrait" verticalDpi="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76923C"/>
  </sheetPr>
  <dimension ref="A1:O109"/>
  <sheetViews>
    <sheetView showRowColHeaders="0" workbookViewId="0">
      <pane ySplit="8" topLeftCell="A9" activePane="bottomLeft" state="frozen"/>
      <selection activeCell="M21" sqref="M21"/>
      <selection pane="bottomLeft" activeCell="A9" sqref="A9:K9"/>
    </sheetView>
  </sheetViews>
  <sheetFormatPr defaultColWidth="0" defaultRowHeight="15" zeroHeight="1" x14ac:dyDescent="0.25"/>
  <cols>
    <col min="1" max="1" width="4.85546875" style="42" customWidth="1"/>
    <col min="2" max="7" width="18.42578125" style="42" customWidth="1"/>
    <col min="8" max="8" width="18.85546875" style="42" customWidth="1"/>
    <col min="9" max="11" width="8.7109375" style="42" customWidth="1"/>
    <col min="12" max="16384" width="9.140625" style="42" hidden="1"/>
  </cols>
  <sheetData>
    <row r="1" spans="1:11" ht="24" customHeight="1" x14ac:dyDescent="0.25">
      <c r="A1" s="1975" t="s">
        <v>4</v>
      </c>
      <c r="B1" s="1975"/>
      <c r="C1" s="1975"/>
      <c r="D1" s="1975"/>
      <c r="E1" s="1975"/>
      <c r="F1" s="1975"/>
      <c r="G1" s="1975"/>
      <c r="H1" s="1975"/>
      <c r="I1" s="1975"/>
      <c r="J1" s="1975"/>
      <c r="K1" s="1975"/>
    </row>
    <row r="2" spans="1:11" ht="15" customHeight="1" x14ac:dyDescent="0.25">
      <c r="A2" s="53"/>
      <c r="B2" s="54"/>
      <c r="C2" s="54"/>
      <c r="D2" s="54"/>
      <c r="E2" s="54"/>
      <c r="F2" s="53"/>
      <c r="G2" s="1426" t="s">
        <v>2108</v>
      </c>
      <c r="H2" s="1426"/>
      <c r="I2" s="258" t="s">
        <v>60</v>
      </c>
      <c r="J2" s="258" t="s">
        <v>76</v>
      </c>
      <c r="K2" s="258" t="s">
        <v>160</v>
      </c>
    </row>
    <row r="3" spans="1:11" ht="15" customHeight="1" x14ac:dyDescent="0.25">
      <c r="A3" s="53"/>
      <c r="B3" s="54"/>
      <c r="C3" s="54"/>
      <c r="D3" s="54"/>
      <c r="E3" s="54"/>
      <c r="F3" s="53"/>
      <c r="G3" s="1426"/>
      <c r="H3" s="1426"/>
      <c r="I3" s="258" t="s">
        <v>64</v>
      </c>
      <c r="J3" s="258" t="s">
        <v>80</v>
      </c>
      <c r="K3" s="258" t="s">
        <v>79</v>
      </c>
    </row>
    <row r="4" spans="1:11" ht="15" customHeight="1" x14ac:dyDescent="0.25">
      <c r="A4" s="53"/>
      <c r="B4" s="54"/>
      <c r="C4" s="54"/>
      <c r="D4" s="54"/>
      <c r="E4" s="54"/>
      <c r="F4" s="53"/>
      <c r="G4" s="1652"/>
      <c r="H4" s="1652"/>
      <c r="I4" s="258" t="s">
        <v>72</v>
      </c>
      <c r="J4" s="258" t="s">
        <v>131</v>
      </c>
      <c r="K4" s="240"/>
    </row>
    <row r="5" spans="1:11" ht="21" customHeight="1" x14ac:dyDescent="0.25">
      <c r="A5" s="1417" t="s">
        <v>2426</v>
      </c>
      <c r="B5" s="1418"/>
      <c r="C5" s="1418"/>
      <c r="D5" s="1418"/>
      <c r="E5" s="1418"/>
      <c r="F5" s="1418"/>
      <c r="G5" s="1418"/>
      <c r="H5" s="1418"/>
      <c r="I5" s="1418"/>
      <c r="J5" s="1418"/>
      <c r="K5" s="1418"/>
    </row>
    <row r="6" spans="1:11" ht="21" customHeight="1" x14ac:dyDescent="0.25">
      <c r="A6" s="1420"/>
      <c r="B6" s="1421"/>
      <c r="C6" s="1421"/>
      <c r="D6" s="1421"/>
      <c r="E6" s="1421"/>
      <c r="F6" s="1421"/>
      <c r="G6" s="1421"/>
      <c r="H6" s="1421"/>
      <c r="I6" s="1421"/>
      <c r="J6" s="1421"/>
      <c r="K6" s="1421"/>
    </row>
    <row r="7" spans="1:11" ht="21" customHeight="1" x14ac:dyDescent="0.25">
      <c r="A7" s="1423"/>
      <c r="B7" s="1424"/>
      <c r="C7" s="1424"/>
      <c r="D7" s="1424"/>
      <c r="E7" s="1424"/>
      <c r="F7" s="1424"/>
      <c r="G7" s="1424"/>
      <c r="H7" s="1424"/>
      <c r="I7" s="1424"/>
      <c r="J7" s="1424"/>
      <c r="K7" s="1424"/>
    </row>
    <row r="8" spans="1:11" ht="12" customHeight="1" x14ac:dyDescent="0.25">
      <c r="A8" s="53"/>
      <c r="B8" s="54"/>
      <c r="C8" s="54"/>
      <c r="D8" s="54"/>
      <c r="E8" s="54"/>
      <c r="F8" s="53"/>
      <c r="G8" s="53"/>
      <c r="H8" s="53"/>
      <c r="I8" s="53"/>
      <c r="J8" s="53"/>
      <c r="K8" s="53"/>
    </row>
    <row r="9" spans="1:11" ht="18" customHeight="1" x14ac:dyDescent="0.25">
      <c r="A9" s="1974" t="s">
        <v>191</v>
      </c>
      <c r="B9" s="1974"/>
      <c r="C9" s="1974"/>
      <c r="D9" s="1974"/>
      <c r="E9" s="1974"/>
      <c r="F9" s="1974"/>
      <c r="G9" s="1974"/>
      <c r="H9" s="1974"/>
      <c r="I9" s="1974"/>
      <c r="J9" s="1974"/>
      <c r="K9" s="1974"/>
    </row>
    <row r="10" spans="1:11" ht="16.5" customHeight="1" x14ac:dyDescent="0.25">
      <c r="A10" s="53"/>
      <c r="B10" s="54"/>
      <c r="C10" s="54"/>
      <c r="D10" s="54"/>
      <c r="E10" s="54"/>
      <c r="F10" s="53"/>
      <c r="G10" s="53"/>
      <c r="H10" s="53"/>
      <c r="I10" s="53"/>
      <c r="J10" s="53"/>
      <c r="K10" s="53"/>
    </row>
    <row r="11" spans="1:11" ht="19.5" customHeight="1" x14ac:dyDescent="0.25">
      <c r="A11" s="53"/>
      <c r="B11" s="1984" t="s">
        <v>192</v>
      </c>
      <c r="C11" s="1985"/>
      <c r="D11" s="1985"/>
      <c r="E11" s="1985"/>
      <c r="F11" s="715" t="s">
        <v>157</v>
      </c>
      <c r="G11" s="715" t="s">
        <v>56</v>
      </c>
      <c r="H11" s="60" t="s">
        <v>521</v>
      </c>
      <c r="I11" s="53"/>
      <c r="J11" s="53"/>
      <c r="K11" s="53"/>
    </row>
    <row r="12" spans="1:11" ht="39" customHeight="1" x14ac:dyDescent="0.25">
      <c r="A12" s="53"/>
      <c r="B12" s="1430" t="s">
        <v>562</v>
      </c>
      <c r="C12" s="1431"/>
      <c r="D12" s="1431"/>
      <c r="E12" s="1973"/>
      <c r="F12" s="59">
        <v>2</v>
      </c>
      <c r="G12" s="59">
        <f>C56</f>
        <v>0</v>
      </c>
      <c r="H12" s="59" t="str">
        <f>C57</f>
        <v>No</v>
      </c>
      <c r="I12" s="88"/>
      <c r="J12" s="53"/>
      <c r="K12" s="53"/>
    </row>
    <row r="13" spans="1:11" ht="40.5" customHeight="1" x14ac:dyDescent="0.25">
      <c r="A13" s="53"/>
      <c r="B13" s="1430" t="s">
        <v>1917</v>
      </c>
      <c r="C13" s="1431"/>
      <c r="D13" s="1431"/>
      <c r="E13" s="1973"/>
      <c r="F13" s="267">
        <v>2</v>
      </c>
      <c r="G13" s="267">
        <f>C103</f>
        <v>0</v>
      </c>
      <c r="H13" s="267" t="str">
        <f>C104</f>
        <v>No</v>
      </c>
      <c r="I13" s="88"/>
      <c r="J13" s="53"/>
      <c r="K13" s="53"/>
    </row>
    <row r="14" spans="1:11" ht="18" customHeight="1" x14ac:dyDescent="0.25">
      <c r="A14" s="53"/>
      <c r="B14" s="1433" t="s">
        <v>82</v>
      </c>
      <c r="C14" s="1775"/>
      <c r="D14" s="1775"/>
      <c r="E14" s="1775"/>
      <c r="F14" s="702">
        <v>2</v>
      </c>
      <c r="G14" s="702">
        <f>MIN(2,SUM(G12:G13))</f>
        <v>0</v>
      </c>
      <c r="H14" s="702" t="str">
        <f>IF(AND(COUNTIF(H12:H13,"No")=0,COUNTIF(H12:H13,"Yes")&gt;0),"Yes","No")</f>
        <v>No</v>
      </c>
      <c r="J14" s="53"/>
      <c r="K14" s="53"/>
    </row>
    <row r="15" spans="1:11" ht="16.5" customHeight="1" x14ac:dyDescent="0.25">
      <c r="A15" s="53"/>
      <c r="B15" s="276"/>
      <c r="C15" s="277"/>
      <c r="D15" s="54"/>
      <c r="E15" s="54"/>
      <c r="F15" s="53"/>
      <c r="G15" s="53"/>
      <c r="H15" s="53"/>
      <c r="I15" s="53"/>
      <c r="J15" s="53"/>
      <c r="K15" s="53"/>
    </row>
    <row r="16" spans="1:11" ht="17.25" customHeight="1" x14ac:dyDescent="0.25">
      <c r="A16" s="1974" t="s">
        <v>563</v>
      </c>
      <c r="B16" s="1974"/>
      <c r="C16" s="1974"/>
      <c r="D16" s="1974"/>
      <c r="E16" s="1974"/>
      <c r="F16" s="1974"/>
      <c r="G16" s="1974"/>
      <c r="H16" s="1974"/>
      <c r="I16" s="1974"/>
      <c r="J16" s="1974"/>
      <c r="K16" s="1974"/>
    </row>
    <row r="17" spans="1:11" x14ac:dyDescent="0.25">
      <c r="A17" s="53"/>
      <c r="B17" s="276"/>
      <c r="C17" s="277"/>
      <c r="D17" s="54"/>
      <c r="E17" s="54"/>
      <c r="F17" s="53"/>
      <c r="G17" s="53"/>
      <c r="H17" s="53"/>
      <c r="I17" s="53"/>
      <c r="J17" s="53"/>
      <c r="K17" s="53"/>
    </row>
    <row r="18" spans="1:11" ht="16.5" customHeight="1" x14ac:dyDescent="0.25">
      <c r="A18" s="1986" t="s">
        <v>265</v>
      </c>
      <c r="B18" s="1986"/>
      <c r="C18" s="1986"/>
      <c r="D18" s="54"/>
      <c r="E18" s="54"/>
      <c r="F18" s="53"/>
      <c r="G18" s="53"/>
      <c r="H18" s="53"/>
      <c r="I18" s="53"/>
      <c r="J18" s="53"/>
      <c r="K18" s="53"/>
    </row>
    <row r="19" spans="1:11" x14ac:dyDescent="0.25">
      <c r="A19" s="53"/>
      <c r="B19" s="276"/>
      <c r="C19" s="277"/>
      <c r="D19" s="54"/>
      <c r="E19" s="54"/>
      <c r="F19" s="53"/>
      <c r="G19" s="53"/>
      <c r="H19" s="53"/>
      <c r="I19" s="53"/>
      <c r="J19" s="53"/>
      <c r="K19" s="53"/>
    </row>
    <row r="20" spans="1:11" x14ac:dyDescent="0.25">
      <c r="A20" s="53"/>
      <c r="B20" s="740" t="s">
        <v>1347</v>
      </c>
      <c r="C20" s="277"/>
      <c r="D20" s="54"/>
      <c r="E20" s="54"/>
      <c r="F20" s="53"/>
      <c r="G20" s="53"/>
      <c r="H20" s="53"/>
      <c r="I20" s="53"/>
      <c r="J20" s="53"/>
      <c r="K20" s="53"/>
    </row>
    <row r="21" spans="1:11" ht="18" customHeight="1" x14ac:dyDescent="0.25">
      <c r="A21" s="53"/>
      <c r="B21" s="525"/>
      <c r="C21" s="277"/>
      <c r="D21" s="54"/>
      <c r="E21" s="54"/>
      <c r="F21" s="53"/>
      <c r="G21" s="53"/>
      <c r="H21" s="53"/>
      <c r="I21" s="53"/>
      <c r="J21" s="53"/>
      <c r="K21" s="53"/>
    </row>
    <row r="22" spans="1:11" x14ac:dyDescent="0.25">
      <c r="A22" s="53"/>
      <c r="B22" s="750" t="s">
        <v>1675</v>
      </c>
      <c r="C22" s="277"/>
      <c r="D22" s="54"/>
      <c r="E22" s="54"/>
      <c r="F22" s="53"/>
      <c r="G22" s="53"/>
      <c r="H22" s="53"/>
      <c r="I22" s="53"/>
      <c r="J22" s="53"/>
      <c r="K22" s="53"/>
    </row>
    <row r="23" spans="1:11" x14ac:dyDescent="0.25">
      <c r="A23" s="53"/>
      <c r="B23" s="525"/>
      <c r="C23" s="277"/>
      <c r="D23" s="54"/>
      <c r="E23" s="54"/>
      <c r="F23" s="53"/>
      <c r="G23" s="53"/>
      <c r="H23" s="53"/>
      <c r="I23" s="53"/>
      <c r="J23" s="53"/>
      <c r="K23" s="53"/>
    </row>
    <row r="24" spans="1:11" ht="16.5" customHeight="1" x14ac:dyDescent="0.25">
      <c r="A24" s="1986" t="s">
        <v>26</v>
      </c>
      <c r="B24" s="1986"/>
      <c r="C24" s="1986"/>
      <c r="D24" s="53"/>
      <c r="E24" s="53"/>
      <c r="F24" s="53"/>
      <c r="G24" s="53"/>
      <c r="H24" s="53"/>
      <c r="I24" s="53"/>
      <c r="J24" s="53"/>
      <c r="K24" s="53"/>
    </row>
    <row r="25" spans="1:11" x14ac:dyDescent="0.25">
      <c r="A25" s="53"/>
      <c r="B25" s="54"/>
      <c r="C25" s="54"/>
      <c r="D25" s="54"/>
      <c r="E25" s="54"/>
      <c r="F25" s="53"/>
      <c r="G25" s="53"/>
      <c r="H25" s="53"/>
      <c r="I25" s="53"/>
      <c r="J25" s="53"/>
      <c r="K25" s="53"/>
    </row>
    <row r="26" spans="1:11" x14ac:dyDescent="0.25">
      <c r="A26" s="53"/>
      <c r="B26" s="717" t="s">
        <v>1372</v>
      </c>
      <c r="C26" s="54"/>
      <c r="D26" s="54"/>
      <c r="E26" s="54"/>
      <c r="F26" s="53"/>
      <c r="G26" s="53"/>
      <c r="H26" s="53"/>
      <c r="I26" s="53"/>
      <c r="J26" s="53"/>
      <c r="K26" s="53"/>
    </row>
    <row r="27" spans="1:11" ht="9" customHeight="1" x14ac:dyDescent="0.25">
      <c r="A27" s="53"/>
      <c r="B27" s="54"/>
      <c r="C27" s="54"/>
      <c r="D27" s="54"/>
      <c r="E27" s="54"/>
      <c r="F27" s="53"/>
      <c r="G27" s="53"/>
      <c r="H27" s="53"/>
      <c r="I27" s="53"/>
      <c r="J27" s="53"/>
      <c r="K27" s="53"/>
    </row>
    <row r="28" spans="1:11" ht="18" customHeight="1" x14ac:dyDescent="0.25">
      <c r="A28" s="53"/>
      <c r="B28" s="2013" t="s">
        <v>153</v>
      </c>
      <c r="C28" s="2013"/>
      <c r="D28" s="186"/>
      <c r="E28" s="53"/>
      <c r="F28" s="53"/>
      <c r="G28" s="53"/>
      <c r="H28" s="53"/>
      <c r="I28" s="53"/>
      <c r="J28" s="53"/>
      <c r="K28" s="53"/>
    </row>
    <row r="29" spans="1:11" x14ac:dyDescent="0.25">
      <c r="A29" s="53"/>
      <c r="B29" s="54"/>
      <c r="C29" s="54"/>
      <c r="D29" s="54"/>
      <c r="E29" s="53"/>
      <c r="F29" s="53"/>
      <c r="G29" s="53"/>
      <c r="H29" s="53"/>
      <c r="I29" s="53"/>
      <c r="J29" s="53"/>
      <c r="K29" s="53"/>
    </row>
    <row r="30" spans="1:11" ht="18" customHeight="1" x14ac:dyDescent="0.25">
      <c r="A30" s="53"/>
      <c r="B30" s="2022" t="s">
        <v>152</v>
      </c>
      <c r="C30" s="2022"/>
      <c r="D30" s="10" t="s">
        <v>43</v>
      </c>
      <c r="E30" s="53"/>
      <c r="F30" s="53"/>
      <c r="G30" s="53"/>
      <c r="H30" s="53"/>
      <c r="I30" s="53"/>
      <c r="J30" s="53"/>
      <c r="K30" s="53"/>
    </row>
    <row r="31" spans="1:11" x14ac:dyDescent="0.25">
      <c r="A31" s="53"/>
      <c r="B31" s="1470"/>
      <c r="C31" s="1470"/>
      <c r="D31" s="879"/>
      <c r="E31" s="53"/>
      <c r="F31" s="53"/>
      <c r="G31" s="53"/>
      <c r="H31" s="53"/>
      <c r="I31" s="53"/>
      <c r="J31" s="53"/>
      <c r="K31" s="53"/>
    </row>
    <row r="32" spans="1:11" x14ac:dyDescent="0.25">
      <c r="A32" s="53"/>
      <c r="B32" s="1470"/>
      <c r="C32" s="1470"/>
      <c r="D32" s="186"/>
      <c r="E32" s="53"/>
      <c r="F32" s="53"/>
      <c r="G32" s="53"/>
      <c r="H32" s="53"/>
      <c r="I32" s="53"/>
      <c r="J32" s="53"/>
      <c r="K32" s="53"/>
    </row>
    <row r="33" spans="1:11" x14ac:dyDescent="0.25">
      <c r="A33" s="53"/>
      <c r="B33" s="1470"/>
      <c r="C33" s="1470"/>
      <c r="D33" s="186"/>
      <c r="E33" s="53"/>
      <c r="F33" s="53"/>
      <c r="G33" s="53"/>
      <c r="H33" s="53"/>
      <c r="I33" s="53"/>
      <c r="J33" s="53"/>
      <c r="K33" s="53"/>
    </row>
    <row r="34" spans="1:11" x14ac:dyDescent="0.25">
      <c r="A34" s="53"/>
      <c r="B34" s="1470"/>
      <c r="C34" s="1470"/>
      <c r="D34" s="186"/>
      <c r="E34" s="53"/>
      <c r="F34" s="53"/>
      <c r="G34" s="53"/>
      <c r="H34" s="53"/>
      <c r="I34" s="53"/>
      <c r="J34" s="53"/>
      <c r="K34" s="53"/>
    </row>
    <row r="35" spans="1:11" x14ac:dyDescent="0.25">
      <c r="A35" s="53"/>
      <c r="B35" s="1470"/>
      <c r="C35" s="1470"/>
      <c r="D35" s="186"/>
      <c r="E35" s="53"/>
      <c r="F35" s="53"/>
      <c r="G35" s="53"/>
      <c r="H35" s="53"/>
      <c r="I35" s="53"/>
      <c r="J35" s="53"/>
      <c r="K35" s="53"/>
    </row>
    <row r="36" spans="1:11" x14ac:dyDescent="0.25">
      <c r="A36" s="53"/>
      <c r="B36" s="1470"/>
      <c r="C36" s="1470"/>
      <c r="D36" s="186"/>
      <c r="E36" s="53"/>
      <c r="F36" s="53"/>
      <c r="G36" s="53"/>
      <c r="H36" s="53"/>
      <c r="I36" s="53"/>
      <c r="J36" s="53"/>
      <c r="K36" s="53"/>
    </row>
    <row r="37" spans="1:11" x14ac:dyDescent="0.25">
      <c r="A37" s="53"/>
      <c r="B37" s="1470"/>
      <c r="C37" s="1470"/>
      <c r="D37" s="186"/>
      <c r="E37" s="53"/>
      <c r="F37" s="53"/>
      <c r="G37" s="53"/>
      <c r="H37" s="53"/>
      <c r="I37" s="53"/>
      <c r="J37" s="53"/>
      <c r="K37" s="53"/>
    </row>
    <row r="38" spans="1:11" x14ac:dyDescent="0.25">
      <c r="A38" s="53"/>
      <c r="B38" s="1470"/>
      <c r="C38" s="1470"/>
      <c r="D38" s="186"/>
      <c r="E38" s="53"/>
      <c r="F38" s="53"/>
      <c r="G38" s="53"/>
      <c r="H38" s="53"/>
      <c r="I38" s="53"/>
      <c r="J38" s="53"/>
      <c r="K38" s="53"/>
    </row>
    <row r="39" spans="1:11" x14ac:dyDescent="0.25">
      <c r="A39" s="53"/>
      <c r="B39" s="1470"/>
      <c r="C39" s="1470"/>
      <c r="D39" s="186"/>
      <c r="E39" s="53"/>
      <c r="F39" s="53"/>
      <c r="G39" s="53"/>
      <c r="H39" s="53"/>
      <c r="I39" s="53"/>
      <c r="J39" s="53"/>
      <c r="K39" s="53"/>
    </row>
    <row r="40" spans="1:11" x14ac:dyDescent="0.25">
      <c r="A40" s="53"/>
      <c r="B40" s="1470"/>
      <c r="C40" s="1470"/>
      <c r="D40" s="186"/>
      <c r="E40" s="53"/>
      <c r="F40" s="53"/>
      <c r="G40" s="53"/>
      <c r="H40" s="53"/>
      <c r="I40" s="53"/>
      <c r="J40" s="53"/>
      <c r="K40" s="53"/>
    </row>
    <row r="41" spans="1:11" x14ac:dyDescent="0.25">
      <c r="A41" s="53"/>
      <c r="B41" s="1470"/>
      <c r="C41" s="1470"/>
      <c r="D41" s="186"/>
      <c r="E41" s="53"/>
      <c r="F41" s="53"/>
      <c r="G41" s="53"/>
      <c r="H41" s="53"/>
      <c r="I41" s="53"/>
      <c r="J41" s="53"/>
      <c r="K41" s="53"/>
    </row>
    <row r="42" spans="1:11" x14ac:dyDescent="0.25">
      <c r="A42" s="53"/>
      <c r="B42" s="1470"/>
      <c r="C42" s="1470"/>
      <c r="D42" s="186"/>
      <c r="E42" s="53"/>
      <c r="F42" s="53"/>
      <c r="G42" s="53"/>
      <c r="H42" s="53"/>
      <c r="I42" s="53"/>
      <c r="J42" s="53"/>
      <c r="K42" s="53"/>
    </row>
    <row r="43" spans="1:11" x14ac:dyDescent="0.25">
      <c r="A43" s="53"/>
      <c r="B43" s="1470"/>
      <c r="C43" s="1470"/>
      <c r="D43" s="186"/>
      <c r="E43" s="53"/>
      <c r="F43" s="53"/>
      <c r="G43" s="53"/>
      <c r="H43" s="53"/>
      <c r="I43" s="53"/>
      <c r="J43" s="53"/>
      <c r="K43" s="53"/>
    </row>
    <row r="44" spans="1:11" x14ac:dyDescent="0.25">
      <c r="A44" s="53"/>
      <c r="B44" s="54"/>
      <c r="D44" s="549">
        <f>SUM(D31:D43)</f>
        <v>0</v>
      </c>
      <c r="E44" s="54"/>
      <c r="F44" s="53"/>
      <c r="G44" s="53"/>
      <c r="H44" s="53"/>
      <c r="I44" s="53"/>
      <c r="J44" s="53"/>
      <c r="K44" s="53"/>
    </row>
    <row r="45" spans="1:11" x14ac:dyDescent="0.25">
      <c r="A45" s="53"/>
      <c r="B45" s="54"/>
      <c r="C45" s="54"/>
      <c r="D45" s="54"/>
      <c r="E45" s="54"/>
      <c r="F45" s="53"/>
      <c r="G45" s="53"/>
      <c r="H45" s="53"/>
      <c r="I45" s="53"/>
      <c r="J45" s="85"/>
      <c r="K45" s="85"/>
    </row>
    <row r="46" spans="1:11" ht="18.75" customHeight="1" x14ac:dyDescent="0.25">
      <c r="A46" s="53"/>
      <c r="B46" s="1987" t="s">
        <v>151</v>
      </c>
      <c r="C46" s="1987"/>
      <c r="D46" s="86" t="str">
        <f>IFERROR(D44/D28,"")</f>
        <v/>
      </c>
      <c r="E46" s="73"/>
      <c r="F46" s="53"/>
      <c r="G46" s="53"/>
      <c r="H46" s="53"/>
      <c r="I46" s="53"/>
      <c r="J46" s="85"/>
      <c r="K46" s="85"/>
    </row>
    <row r="47" spans="1:11" ht="18" customHeight="1" x14ac:dyDescent="0.25">
      <c r="A47" s="53"/>
      <c r="B47" s="54"/>
      <c r="C47" s="54"/>
      <c r="D47" s="54"/>
      <c r="E47" s="54"/>
      <c r="F47" s="53"/>
      <c r="G47" s="53"/>
      <c r="H47" s="53"/>
      <c r="I47" s="53"/>
      <c r="J47" s="85"/>
      <c r="K47" s="85"/>
    </row>
    <row r="48" spans="1:11" ht="16.5" customHeight="1" x14ac:dyDescent="0.25">
      <c r="A48" s="1986" t="s">
        <v>200</v>
      </c>
      <c r="B48" s="1986"/>
      <c r="C48" s="1986"/>
      <c r="D48" s="54"/>
      <c r="E48" s="54"/>
      <c r="F48" s="54"/>
      <c r="G48" s="54"/>
      <c r="H48" s="54"/>
      <c r="I48" s="54"/>
      <c r="J48" s="54"/>
      <c r="K48" s="54"/>
    </row>
    <row r="49" spans="1:12" x14ac:dyDescent="0.25">
      <c r="A49" s="53"/>
      <c r="B49" s="54"/>
      <c r="C49" s="54"/>
      <c r="D49" s="54"/>
      <c r="E49" s="54"/>
      <c r="F49" s="53"/>
      <c r="G49" s="53"/>
      <c r="H49" s="53"/>
      <c r="I49" s="53"/>
      <c r="J49" s="85"/>
      <c r="K49" s="85"/>
    </row>
    <row r="50" spans="1:12" ht="18" customHeight="1" x14ac:dyDescent="0.25">
      <c r="A50" s="53"/>
      <c r="B50" s="1998" t="s">
        <v>2103</v>
      </c>
      <c r="C50" s="1999"/>
      <c r="D50" s="1999"/>
      <c r="E50" s="1999"/>
      <c r="F50" s="1999"/>
      <c r="G50" s="1077" t="s">
        <v>2101</v>
      </c>
      <c r="H50" s="2000" t="s">
        <v>2102</v>
      </c>
      <c r="I50" s="2001"/>
      <c r="J50" s="53"/>
      <c r="K50" s="53"/>
      <c r="L50" s="53"/>
    </row>
    <row r="51" spans="1:12" ht="24" customHeight="1" x14ac:dyDescent="0.25">
      <c r="A51" s="53"/>
      <c r="B51" s="1436" t="s">
        <v>1344</v>
      </c>
      <c r="C51" s="1437"/>
      <c r="D51" s="1437"/>
      <c r="E51" s="1437"/>
      <c r="F51" s="1438"/>
      <c r="G51" s="518" t="s">
        <v>129</v>
      </c>
      <c r="H51" s="1730"/>
      <c r="I51" s="1729"/>
      <c r="J51" s="53"/>
      <c r="K51" s="53"/>
      <c r="L51" s="53"/>
    </row>
    <row r="52" spans="1:12" ht="24" customHeight="1" x14ac:dyDescent="0.25">
      <c r="A52" s="53"/>
      <c r="B52" s="1436" t="s">
        <v>1345</v>
      </c>
      <c r="C52" s="1437"/>
      <c r="D52" s="1437"/>
      <c r="E52" s="1437"/>
      <c r="F52" s="1438"/>
      <c r="G52" s="518" t="s">
        <v>129</v>
      </c>
      <c r="H52" s="1730"/>
      <c r="I52" s="1729"/>
      <c r="J52" s="53"/>
      <c r="K52" s="53"/>
      <c r="L52" s="53"/>
    </row>
    <row r="53" spans="1:12" ht="17.25" customHeight="1" x14ac:dyDescent="0.25">
      <c r="A53" s="53"/>
      <c r="B53" s="54"/>
      <c r="C53" s="54"/>
      <c r="D53" s="54"/>
      <c r="E53" s="54"/>
      <c r="F53" s="53"/>
      <c r="G53" s="53"/>
      <c r="H53" s="53"/>
      <c r="I53" s="53"/>
      <c r="J53" s="85"/>
      <c r="K53" s="85"/>
    </row>
    <row r="54" spans="1:12" ht="16.5" customHeight="1" x14ac:dyDescent="0.25">
      <c r="A54" s="1986" t="s">
        <v>25</v>
      </c>
      <c r="B54" s="1986"/>
      <c r="C54" s="1986"/>
      <c r="D54" s="54"/>
      <c r="E54" s="54"/>
      <c r="F54" s="54"/>
      <c r="G54" s="54"/>
      <c r="H54" s="54"/>
      <c r="I54" s="54"/>
      <c r="J54" s="54"/>
      <c r="K54" s="54"/>
    </row>
    <row r="55" spans="1:12" x14ac:dyDescent="0.25">
      <c r="A55" s="53"/>
      <c r="B55" s="54"/>
      <c r="C55" s="54"/>
      <c r="D55" s="54"/>
      <c r="E55" s="54"/>
      <c r="F55" s="53"/>
      <c r="G55" s="53"/>
      <c r="H55" s="53"/>
      <c r="I55" s="53"/>
      <c r="J55" s="53"/>
      <c r="K55" s="53"/>
    </row>
    <row r="56" spans="1:12" ht="18" customHeight="1" x14ac:dyDescent="0.25">
      <c r="A56" s="53"/>
      <c r="B56" s="264" t="s">
        <v>56</v>
      </c>
      <c r="C56" s="1193">
        <f>IF(D46="",0,IF(D46&gt;=0.3,2,IF(D46&gt;=0.15,1,0)))</f>
        <v>0</v>
      </c>
      <c r="D56" s="54"/>
      <c r="E56" s="54"/>
      <c r="F56" s="53"/>
      <c r="G56" s="53"/>
      <c r="H56" s="53"/>
      <c r="I56" s="53"/>
      <c r="J56" s="53"/>
      <c r="K56" s="53"/>
    </row>
    <row r="57" spans="1:12" ht="18" customHeight="1" x14ac:dyDescent="0.25">
      <c r="A57" s="53"/>
      <c r="B57" s="265" t="s">
        <v>521</v>
      </c>
      <c r="C57" s="203" t="str">
        <f>IF(AND(COUNTIF(G51:G52,"Submitted")=2,C56&gt;0),"Yes","No")</f>
        <v>No</v>
      </c>
      <c r="D57" s="54"/>
      <c r="E57" s="54"/>
      <c r="F57" s="53"/>
      <c r="G57" s="53"/>
      <c r="H57" s="53"/>
      <c r="I57" s="53"/>
      <c r="J57" s="53"/>
      <c r="K57" s="53"/>
    </row>
    <row r="58" spans="1:12" ht="18.75" customHeight="1" x14ac:dyDescent="0.25">
      <c r="A58" s="53"/>
      <c r="B58" s="54"/>
      <c r="C58" s="54"/>
      <c r="D58" s="54"/>
      <c r="E58" s="54"/>
      <c r="F58" s="53"/>
      <c r="G58" s="53"/>
      <c r="H58" s="53"/>
      <c r="I58" s="53"/>
      <c r="J58" s="53"/>
      <c r="K58" s="53"/>
    </row>
    <row r="59" spans="1:12" ht="18" customHeight="1" x14ac:dyDescent="0.25">
      <c r="A59" s="1974" t="s">
        <v>564</v>
      </c>
      <c r="B59" s="1974"/>
      <c r="C59" s="1974"/>
      <c r="D59" s="1974"/>
      <c r="E59" s="1974"/>
      <c r="F59" s="1974"/>
      <c r="G59" s="1974"/>
      <c r="H59" s="1974"/>
      <c r="I59" s="1974"/>
      <c r="J59" s="1974"/>
      <c r="K59" s="1974"/>
    </row>
    <row r="60" spans="1:12" x14ac:dyDescent="0.25">
      <c r="A60" s="53"/>
      <c r="B60" s="276"/>
      <c r="C60" s="277"/>
      <c r="D60" s="54"/>
      <c r="E60" s="54"/>
      <c r="F60" s="53"/>
      <c r="G60" s="53"/>
      <c r="H60" s="53"/>
      <c r="I60" s="53"/>
      <c r="J60" s="53"/>
      <c r="K60" s="53"/>
    </row>
    <row r="61" spans="1:12" ht="16.5" customHeight="1" x14ac:dyDescent="0.25">
      <c r="A61" s="1986" t="s">
        <v>265</v>
      </c>
      <c r="B61" s="1986"/>
      <c r="C61" s="1986"/>
      <c r="D61" s="54"/>
      <c r="E61" s="54"/>
      <c r="F61" s="53"/>
      <c r="G61" s="53"/>
      <c r="H61" s="53"/>
      <c r="I61" s="53"/>
      <c r="J61" s="53"/>
      <c r="K61" s="53"/>
    </row>
    <row r="62" spans="1:12" x14ac:dyDescent="0.25">
      <c r="A62" s="53"/>
      <c r="B62" s="276"/>
      <c r="C62" s="277"/>
      <c r="D62" s="54"/>
      <c r="E62" s="54"/>
      <c r="F62" s="53"/>
      <c r="G62" s="53"/>
      <c r="H62" s="53"/>
      <c r="I62" s="53"/>
      <c r="J62" s="53"/>
      <c r="K62" s="53"/>
    </row>
    <row r="63" spans="1:12" x14ac:dyDescent="0.25">
      <c r="A63" s="53"/>
      <c r="B63" s="740" t="s">
        <v>1348</v>
      </c>
      <c r="C63" s="277"/>
      <c r="D63" s="54"/>
      <c r="E63" s="54"/>
      <c r="F63" s="53"/>
      <c r="G63" s="53"/>
      <c r="H63" s="53"/>
      <c r="I63" s="53"/>
      <c r="J63" s="53"/>
      <c r="K63" s="53"/>
    </row>
    <row r="64" spans="1:12" x14ac:dyDescent="0.25">
      <c r="A64" s="53"/>
      <c r="B64" s="525"/>
      <c r="C64" s="277"/>
      <c r="D64" s="54"/>
      <c r="E64" s="54"/>
      <c r="F64" s="53"/>
      <c r="G64" s="53"/>
      <c r="H64" s="53"/>
      <c r="I64" s="53"/>
      <c r="J64" s="53"/>
      <c r="K64" s="53"/>
    </row>
    <row r="65" spans="1:15" ht="16.5" customHeight="1" x14ac:dyDescent="0.25">
      <c r="A65" s="1986" t="s">
        <v>26</v>
      </c>
      <c r="B65" s="1986"/>
      <c r="C65" s="1986"/>
      <c r="D65" s="53"/>
      <c r="E65" s="53"/>
      <c r="F65" s="53"/>
      <c r="G65" s="53"/>
      <c r="H65" s="53"/>
      <c r="I65" s="53"/>
      <c r="J65" s="53"/>
      <c r="K65" s="53"/>
    </row>
    <row r="66" spans="1:15" x14ac:dyDescent="0.25">
      <c r="A66" s="53"/>
      <c r="B66" s="54"/>
      <c r="C66" s="54"/>
      <c r="D66" s="54"/>
      <c r="E66" s="54"/>
      <c r="F66" s="53"/>
      <c r="G66" s="53"/>
      <c r="H66" s="53"/>
      <c r="I66" s="53"/>
      <c r="J66" s="53"/>
      <c r="K66" s="53"/>
    </row>
    <row r="67" spans="1:15" x14ac:dyDescent="0.25">
      <c r="A67" s="53"/>
      <c r="B67" s="717" t="s">
        <v>1913</v>
      </c>
      <c r="C67" s="54"/>
      <c r="D67" s="54"/>
      <c r="E67" s="54"/>
      <c r="F67" s="53"/>
      <c r="G67" s="53"/>
      <c r="H67" s="53"/>
      <c r="I67" s="53"/>
      <c r="J67" s="53"/>
      <c r="K67" s="53"/>
    </row>
    <row r="68" spans="1:15" x14ac:dyDescent="0.25">
      <c r="A68" s="53"/>
      <c r="B68" s="717"/>
      <c r="C68" s="54"/>
      <c r="D68" s="54"/>
      <c r="E68" s="54"/>
      <c r="F68" s="53"/>
      <c r="G68" s="53"/>
      <c r="H68" s="53"/>
      <c r="I68" s="53"/>
      <c r="J68" s="53"/>
      <c r="K68" s="53"/>
    </row>
    <row r="69" spans="1:15" ht="10.5" customHeight="1" x14ac:dyDescent="0.25">
      <c r="A69" s="53"/>
      <c r="B69" s="2023" t="s">
        <v>1914</v>
      </c>
      <c r="C69" s="2023"/>
      <c r="D69" s="2023"/>
      <c r="E69" s="2023"/>
      <c r="F69" s="2023"/>
      <c r="G69" s="2023"/>
      <c r="H69" s="2023"/>
      <c r="I69" s="2023"/>
      <c r="J69" s="53"/>
      <c r="K69" s="53"/>
    </row>
    <row r="70" spans="1:15" ht="10.5" customHeight="1" x14ac:dyDescent="0.25">
      <c r="A70" s="53"/>
      <c r="B70" s="2023"/>
      <c r="C70" s="2023"/>
      <c r="D70" s="2023"/>
      <c r="E70" s="2023"/>
      <c r="F70" s="2023"/>
      <c r="G70" s="2023"/>
      <c r="H70" s="2023"/>
      <c r="I70" s="2023"/>
      <c r="J70" s="53"/>
      <c r="K70" s="53"/>
    </row>
    <row r="71" spans="1:15" x14ac:dyDescent="0.25">
      <c r="A71" s="53"/>
      <c r="B71" s="54"/>
      <c r="C71" s="54"/>
      <c r="D71" s="54"/>
      <c r="E71" s="54"/>
      <c r="F71" s="53"/>
      <c r="G71" s="53"/>
      <c r="H71" s="53"/>
      <c r="I71" s="53"/>
      <c r="J71" s="53"/>
      <c r="K71" s="53"/>
    </row>
    <row r="72" spans="1:15" ht="16.5" customHeight="1" x14ac:dyDescent="0.25">
      <c r="A72" s="53"/>
      <c r="B72" s="2013" t="s">
        <v>1373</v>
      </c>
      <c r="C72" s="2013"/>
      <c r="D72" s="186"/>
      <c r="E72" s="53"/>
      <c r="F72" s="53"/>
      <c r="G72" s="53"/>
      <c r="H72" s="53"/>
      <c r="I72" s="53"/>
      <c r="J72" s="53"/>
      <c r="K72" s="53"/>
    </row>
    <row r="73" spans="1:15" ht="16.5" customHeight="1" x14ac:dyDescent="0.25">
      <c r="A73" s="53"/>
      <c r="B73" s="2013" t="s">
        <v>1374</v>
      </c>
      <c r="C73" s="2013"/>
      <c r="D73" s="186"/>
      <c r="E73" s="53"/>
      <c r="F73" s="53"/>
      <c r="G73" s="439"/>
      <c r="H73" s="439"/>
      <c r="I73" s="439"/>
      <c r="J73" s="439"/>
      <c r="K73" s="439"/>
    </row>
    <row r="74" spans="1:15" ht="16.5" customHeight="1" x14ac:dyDescent="0.25">
      <c r="A74" s="53"/>
      <c r="B74" s="2013" t="s">
        <v>1916</v>
      </c>
      <c r="C74" s="2013"/>
      <c r="D74" s="186"/>
      <c r="E74" s="53"/>
      <c r="F74" s="2020" t="s">
        <v>1915</v>
      </c>
      <c r="G74" s="2020"/>
      <c r="H74" s="2020"/>
      <c r="I74" s="2020"/>
      <c r="J74" s="2020"/>
      <c r="K74" s="2020"/>
    </row>
    <row r="75" spans="1:15" x14ac:dyDescent="0.25">
      <c r="A75" s="53"/>
      <c r="B75" s="54"/>
      <c r="C75" s="54"/>
      <c r="D75" s="54"/>
      <c r="E75" s="53"/>
      <c r="F75" s="2020"/>
      <c r="G75" s="2020"/>
      <c r="H75" s="2020"/>
      <c r="I75" s="2020"/>
      <c r="J75" s="2020"/>
      <c r="K75" s="2020"/>
    </row>
    <row r="76" spans="1:15" ht="25.5" x14ac:dyDescent="0.25">
      <c r="A76" s="53"/>
      <c r="B76" s="550" t="s">
        <v>565</v>
      </c>
      <c r="C76" s="551" t="s">
        <v>1870</v>
      </c>
      <c r="D76" s="551" t="s">
        <v>566</v>
      </c>
      <c r="E76" s="551" t="s">
        <v>1918</v>
      </c>
      <c r="F76" s="53"/>
      <c r="G76" s="976" t="s">
        <v>566</v>
      </c>
      <c r="H76" s="2018" t="s">
        <v>1871</v>
      </c>
      <c r="I76" s="2019"/>
      <c r="J76" s="53"/>
      <c r="K76" s="53"/>
      <c r="L76" s="53"/>
      <c r="M76" s="53"/>
      <c r="N76" s="53"/>
    </row>
    <row r="77" spans="1:15" x14ac:dyDescent="0.25">
      <c r="A77" s="53"/>
      <c r="B77" s="1076"/>
      <c r="C77" s="1076"/>
      <c r="D77" s="1076"/>
      <c r="E77" s="973" t="str">
        <f>IFERROR(O77*C77,"")</f>
        <v/>
      </c>
      <c r="F77" s="53"/>
      <c r="G77" s="975" t="s">
        <v>1872</v>
      </c>
      <c r="H77" s="2021">
        <v>0.2</v>
      </c>
      <c r="I77" s="2021"/>
      <c r="J77" s="53"/>
      <c r="K77" s="53"/>
      <c r="L77" s="53"/>
      <c r="M77" s="53"/>
      <c r="N77" s="42" t="str">
        <f t="shared" ref="N77:N91" si="0">IF(OR(D77="",D77=0),"",IF(D77&lt;100,$G$77,IF(D77&lt;200,$G$78,IF(D77&lt;250,$G$79,IF(D77&lt;320,$G$80,IF(D77&lt;400,$G$81,IF(D77&lt;550,$G$82,$G$83)))))))</f>
        <v/>
      </c>
      <c r="O77" s="42" t="e">
        <f t="shared" ref="O77:O91" si="1">VLOOKUP(N77,$G$76:$I$83,2,FALSE)</f>
        <v>#N/A</v>
      </c>
    </row>
    <row r="78" spans="1:15" x14ac:dyDescent="0.25">
      <c r="A78" s="53"/>
      <c r="B78" s="1076"/>
      <c r="C78" s="1076"/>
      <c r="D78" s="1076"/>
      <c r="E78" s="973" t="str">
        <f t="shared" ref="E78:E80" si="2">IFERROR(O78*C78,"")</f>
        <v/>
      </c>
      <c r="F78" s="53"/>
      <c r="G78" s="975" t="s">
        <v>1873</v>
      </c>
      <c r="H78" s="2021">
        <v>0.33</v>
      </c>
      <c r="I78" s="2021"/>
      <c r="J78" s="53"/>
      <c r="K78" s="53"/>
      <c r="L78" s="53"/>
      <c r="M78" s="53"/>
      <c r="N78" s="42" t="str">
        <f t="shared" si="0"/>
        <v/>
      </c>
      <c r="O78" s="42" t="e">
        <f t="shared" si="1"/>
        <v>#N/A</v>
      </c>
    </row>
    <row r="79" spans="1:15" x14ac:dyDescent="0.25">
      <c r="A79" s="53"/>
      <c r="B79" s="1076"/>
      <c r="C79" s="1076"/>
      <c r="D79" s="1076"/>
      <c r="E79" s="973" t="str">
        <f t="shared" si="2"/>
        <v/>
      </c>
      <c r="F79" s="53"/>
      <c r="G79" s="975" t="s">
        <v>1874</v>
      </c>
      <c r="H79" s="2021">
        <v>0.5</v>
      </c>
      <c r="I79" s="2021"/>
      <c r="J79" s="53"/>
      <c r="K79" s="53"/>
      <c r="L79" s="53"/>
      <c r="M79" s="53"/>
      <c r="N79" s="42" t="str">
        <f t="shared" si="0"/>
        <v/>
      </c>
      <c r="O79" s="42" t="e">
        <f t="shared" si="1"/>
        <v>#N/A</v>
      </c>
    </row>
    <row r="80" spans="1:15" x14ac:dyDescent="0.25">
      <c r="A80" s="53"/>
      <c r="B80" s="531"/>
      <c r="C80" s="972"/>
      <c r="D80" s="518"/>
      <c r="E80" s="973" t="str">
        <f t="shared" si="2"/>
        <v/>
      </c>
      <c r="F80" s="53"/>
      <c r="G80" s="975" t="s">
        <v>1875</v>
      </c>
      <c r="H80" s="2021">
        <v>1</v>
      </c>
      <c r="I80" s="2021"/>
      <c r="J80" s="53"/>
      <c r="K80" s="53"/>
      <c r="L80" s="53"/>
      <c r="M80" s="53"/>
      <c r="N80" s="42" t="str">
        <f t="shared" si="0"/>
        <v/>
      </c>
      <c r="O80" s="42" t="e">
        <f t="shared" si="1"/>
        <v>#N/A</v>
      </c>
    </row>
    <row r="81" spans="1:15" x14ac:dyDescent="0.25">
      <c r="A81" s="53"/>
      <c r="B81" s="988"/>
      <c r="C81" s="988"/>
      <c r="D81" s="988"/>
      <c r="E81" s="989" t="str">
        <f t="shared" ref="E81:E91" si="3">IFERROR(O81*C81,"")</f>
        <v/>
      </c>
      <c r="F81" s="53"/>
      <c r="G81" s="975" t="s">
        <v>1876</v>
      </c>
      <c r="H81" s="2021">
        <v>2</v>
      </c>
      <c r="I81" s="2021"/>
      <c r="J81" s="53"/>
      <c r="K81" s="53"/>
      <c r="L81" s="53"/>
      <c r="M81" s="53"/>
      <c r="N81" s="42" t="str">
        <f t="shared" si="0"/>
        <v/>
      </c>
      <c r="O81" s="42" t="e">
        <f t="shared" si="1"/>
        <v>#N/A</v>
      </c>
    </row>
    <row r="82" spans="1:15" x14ac:dyDescent="0.25">
      <c r="A82" s="53"/>
      <c r="B82" s="988"/>
      <c r="C82" s="988"/>
      <c r="D82" s="988"/>
      <c r="E82" s="989" t="str">
        <f t="shared" si="3"/>
        <v/>
      </c>
      <c r="F82" s="53"/>
      <c r="G82" s="975" t="s">
        <v>1877</v>
      </c>
      <c r="H82" s="2021">
        <v>3</v>
      </c>
      <c r="I82" s="2021"/>
      <c r="J82" s="53"/>
      <c r="K82" s="53"/>
      <c r="L82" s="53"/>
      <c r="M82" s="53"/>
      <c r="N82" s="42" t="str">
        <f t="shared" si="0"/>
        <v/>
      </c>
      <c r="O82" s="42" t="e">
        <f t="shared" si="1"/>
        <v>#N/A</v>
      </c>
    </row>
    <row r="83" spans="1:15" x14ac:dyDescent="0.25">
      <c r="A83" s="53"/>
      <c r="B83" s="988"/>
      <c r="C83" s="988"/>
      <c r="D83" s="988"/>
      <c r="E83" s="989" t="str">
        <f t="shared" si="3"/>
        <v/>
      </c>
      <c r="F83" s="53"/>
      <c r="G83" s="975" t="s">
        <v>1878</v>
      </c>
      <c r="H83" s="2021">
        <v>4</v>
      </c>
      <c r="I83" s="2021"/>
      <c r="J83" s="53"/>
      <c r="K83" s="53"/>
      <c r="L83" s="53"/>
      <c r="M83" s="53"/>
      <c r="N83" s="42" t="str">
        <f t="shared" si="0"/>
        <v/>
      </c>
      <c r="O83" s="42" t="e">
        <f t="shared" si="1"/>
        <v>#N/A</v>
      </c>
    </row>
    <row r="84" spans="1:15" x14ac:dyDescent="0.25">
      <c r="A84" s="53"/>
      <c r="B84" s="988"/>
      <c r="C84" s="988"/>
      <c r="D84" s="988"/>
      <c r="E84" s="989" t="str">
        <f t="shared" si="3"/>
        <v/>
      </c>
      <c r="F84" s="53"/>
      <c r="G84" s="2021" t="s">
        <v>1879</v>
      </c>
      <c r="H84" s="2021" t="s">
        <v>1880</v>
      </c>
      <c r="I84" s="2021"/>
      <c r="J84" s="53"/>
      <c r="K84" s="53"/>
      <c r="L84" s="53"/>
      <c r="M84" s="53"/>
      <c r="N84" s="42" t="str">
        <f t="shared" si="0"/>
        <v/>
      </c>
      <c r="O84" s="42" t="e">
        <f t="shared" si="1"/>
        <v>#N/A</v>
      </c>
    </row>
    <row r="85" spans="1:15" ht="15" customHeight="1" x14ac:dyDescent="0.25">
      <c r="A85" s="53"/>
      <c r="B85" s="988"/>
      <c r="C85" s="988"/>
      <c r="D85" s="988"/>
      <c r="E85" s="989" t="str">
        <f t="shared" si="3"/>
        <v/>
      </c>
      <c r="F85" s="53"/>
      <c r="G85" s="2021"/>
      <c r="H85" s="2021"/>
      <c r="I85" s="2021"/>
      <c r="J85" s="53"/>
      <c r="K85" s="53"/>
      <c r="L85" s="53"/>
      <c r="M85" s="53"/>
      <c r="N85" s="42" t="str">
        <f t="shared" si="0"/>
        <v/>
      </c>
      <c r="O85" s="42" t="e">
        <f t="shared" si="1"/>
        <v>#N/A</v>
      </c>
    </row>
    <row r="86" spans="1:15" x14ac:dyDescent="0.25">
      <c r="A86" s="53"/>
      <c r="B86" s="988"/>
      <c r="C86" s="988"/>
      <c r="D86" s="988"/>
      <c r="E86" s="989" t="str">
        <f t="shared" si="3"/>
        <v/>
      </c>
      <c r="F86" s="53"/>
      <c r="G86" s="2021"/>
      <c r="H86" s="2021"/>
      <c r="I86" s="2021"/>
      <c r="J86" s="53"/>
      <c r="K86" s="53"/>
      <c r="L86" s="53"/>
      <c r="M86" s="53"/>
      <c r="N86" s="42" t="str">
        <f t="shared" si="0"/>
        <v/>
      </c>
      <c r="O86" s="42" t="e">
        <f t="shared" si="1"/>
        <v>#N/A</v>
      </c>
    </row>
    <row r="87" spans="1:15" x14ac:dyDescent="0.25">
      <c r="A87" s="53"/>
      <c r="B87" s="988"/>
      <c r="C87" s="988"/>
      <c r="D87" s="988"/>
      <c r="E87" s="989" t="str">
        <f t="shared" si="3"/>
        <v/>
      </c>
      <c r="F87" s="53"/>
      <c r="G87" s="53"/>
      <c r="H87" s="53"/>
      <c r="I87" s="53"/>
      <c r="J87" s="53"/>
      <c r="K87" s="53"/>
      <c r="L87" s="53"/>
      <c r="M87" s="53"/>
      <c r="N87" s="42" t="str">
        <f t="shared" si="0"/>
        <v/>
      </c>
      <c r="O87" s="42" t="e">
        <f t="shared" si="1"/>
        <v>#N/A</v>
      </c>
    </row>
    <row r="88" spans="1:15" x14ac:dyDescent="0.25">
      <c r="A88" s="53"/>
      <c r="B88" s="988"/>
      <c r="C88" s="988"/>
      <c r="D88" s="988"/>
      <c r="E88" s="989" t="str">
        <f t="shared" si="3"/>
        <v/>
      </c>
      <c r="F88" s="53"/>
      <c r="G88" s="53"/>
      <c r="H88" s="53"/>
      <c r="I88" s="53"/>
      <c r="J88" s="53"/>
      <c r="K88" s="53"/>
      <c r="L88" s="53"/>
      <c r="M88" s="53"/>
      <c r="N88" s="42" t="str">
        <f t="shared" si="0"/>
        <v/>
      </c>
      <c r="O88" s="42" t="e">
        <f t="shared" si="1"/>
        <v>#N/A</v>
      </c>
    </row>
    <row r="89" spans="1:15" x14ac:dyDescent="0.25">
      <c r="A89" s="53"/>
      <c r="B89" s="988"/>
      <c r="C89" s="988"/>
      <c r="D89" s="988"/>
      <c r="E89" s="989" t="str">
        <f t="shared" si="3"/>
        <v/>
      </c>
      <c r="F89" s="53"/>
      <c r="G89" s="53"/>
      <c r="H89" s="53"/>
      <c r="I89" s="53"/>
      <c r="J89" s="53"/>
      <c r="K89" s="53"/>
      <c r="L89" s="53"/>
      <c r="M89" s="53"/>
      <c r="N89" s="42" t="str">
        <f t="shared" si="0"/>
        <v/>
      </c>
      <c r="O89" s="42" t="e">
        <f t="shared" si="1"/>
        <v>#N/A</v>
      </c>
    </row>
    <row r="90" spans="1:15" x14ac:dyDescent="0.25">
      <c r="A90" s="53"/>
      <c r="B90" s="988"/>
      <c r="C90" s="988"/>
      <c r="D90" s="988"/>
      <c r="E90" s="989" t="str">
        <f t="shared" si="3"/>
        <v/>
      </c>
      <c r="F90" s="53"/>
      <c r="G90" s="53"/>
      <c r="H90" s="53"/>
      <c r="I90" s="53"/>
      <c r="J90" s="53"/>
      <c r="K90" s="53"/>
      <c r="L90" s="53"/>
      <c r="M90" s="53"/>
      <c r="N90" s="42" t="str">
        <f t="shared" si="0"/>
        <v/>
      </c>
      <c r="O90" s="42" t="e">
        <f t="shared" si="1"/>
        <v>#N/A</v>
      </c>
    </row>
    <row r="91" spans="1:15" x14ac:dyDescent="0.25">
      <c r="A91" s="53"/>
      <c r="B91" s="988"/>
      <c r="C91" s="988"/>
      <c r="D91" s="988"/>
      <c r="E91" s="989" t="str">
        <f t="shared" si="3"/>
        <v/>
      </c>
      <c r="F91" s="53"/>
      <c r="G91" s="53"/>
      <c r="H91" s="53"/>
      <c r="I91" s="53"/>
      <c r="J91" s="53"/>
      <c r="K91" s="53"/>
      <c r="L91" s="53"/>
      <c r="M91" s="53"/>
      <c r="N91" s="42" t="str">
        <f t="shared" si="0"/>
        <v/>
      </c>
      <c r="O91" s="42" t="e">
        <f t="shared" si="1"/>
        <v>#N/A</v>
      </c>
    </row>
    <row r="92" spans="1:15" x14ac:dyDescent="0.25">
      <c r="A92" s="53"/>
      <c r="B92" s="54"/>
      <c r="C92" s="54"/>
      <c r="D92" s="54"/>
      <c r="E92" s="974">
        <f>SUM(E77:E86)</f>
        <v>0</v>
      </c>
      <c r="F92" s="53"/>
      <c r="G92" s="53"/>
      <c r="H92" s="53"/>
      <c r="I92" s="53"/>
      <c r="J92" s="53"/>
      <c r="K92" s="53"/>
      <c r="L92" s="53"/>
      <c r="M92" s="53"/>
    </row>
    <row r="93" spans="1:15" ht="13.5" customHeight="1" x14ac:dyDescent="0.25">
      <c r="A93" s="53"/>
      <c r="B93" s="54"/>
      <c r="C93" s="54"/>
      <c r="D93" s="54"/>
      <c r="E93" s="54"/>
      <c r="F93" s="53"/>
      <c r="G93" s="53"/>
      <c r="H93" s="53"/>
      <c r="I93" s="53"/>
      <c r="J93" s="85"/>
      <c r="K93" s="85"/>
    </row>
    <row r="94" spans="1:15" ht="18.75" customHeight="1" x14ac:dyDescent="0.25">
      <c r="A94" s="53"/>
      <c r="B94" s="1987" t="s">
        <v>1058</v>
      </c>
      <c r="C94" s="1987"/>
      <c r="D94" s="2024" t="str">
        <f>IFERROR(CONCATENATE("1 pot plant unit for every "&amp;ROUND((D72+D73+D74)/E92,2)&amp;" m2"),"")</f>
        <v/>
      </c>
      <c r="E94" s="2024"/>
      <c r="F94" s="53"/>
      <c r="G94" s="53"/>
      <c r="H94" s="53"/>
      <c r="I94" s="53"/>
      <c r="J94" s="85"/>
      <c r="K94" s="85"/>
    </row>
    <row r="95" spans="1:15" ht="18" customHeight="1" x14ac:dyDescent="0.25">
      <c r="A95" s="53"/>
      <c r="B95" s="54"/>
      <c r="C95" s="54"/>
      <c r="D95" s="54"/>
      <c r="E95" s="54"/>
      <c r="F95" s="53"/>
      <c r="G95" s="53"/>
      <c r="H95" s="53"/>
      <c r="I95" s="53"/>
      <c r="J95" s="85"/>
      <c r="K95" s="85"/>
    </row>
    <row r="96" spans="1:15" ht="16.5" customHeight="1" x14ac:dyDescent="0.25">
      <c r="A96" s="1986" t="s">
        <v>200</v>
      </c>
      <c r="B96" s="1986"/>
      <c r="C96" s="1986"/>
      <c r="D96" s="54"/>
      <c r="E96" s="54"/>
      <c r="F96" s="54"/>
      <c r="G96" s="54"/>
      <c r="H96" s="54"/>
      <c r="I96" s="54"/>
      <c r="J96" s="54"/>
      <c r="K96" s="54"/>
    </row>
    <row r="97" spans="1:12" x14ac:dyDescent="0.25">
      <c r="A97" s="53"/>
      <c r="B97" s="54"/>
      <c r="C97" s="54"/>
      <c r="D97" s="54"/>
      <c r="E97" s="54"/>
      <c r="F97" s="53"/>
      <c r="G97" s="53"/>
      <c r="H97" s="53"/>
      <c r="I97" s="53"/>
      <c r="J97" s="85"/>
      <c r="K97" s="85"/>
    </row>
    <row r="98" spans="1:12" ht="18" customHeight="1" x14ac:dyDescent="0.25">
      <c r="A98" s="53"/>
      <c r="B98" s="1998" t="s">
        <v>2103</v>
      </c>
      <c r="C98" s="1999"/>
      <c r="D98" s="1999"/>
      <c r="E98" s="1999"/>
      <c r="F98" s="1999"/>
      <c r="G98" s="1077" t="s">
        <v>2101</v>
      </c>
      <c r="H98" s="2000" t="s">
        <v>2102</v>
      </c>
      <c r="I98" s="2001"/>
      <c r="J98" s="53"/>
      <c r="K98" s="53"/>
      <c r="L98" s="53"/>
    </row>
    <row r="99" spans="1:12" ht="24" customHeight="1" x14ac:dyDescent="0.25">
      <c r="A99" s="53"/>
      <c r="B99" s="1436" t="s">
        <v>1346</v>
      </c>
      <c r="C99" s="1437"/>
      <c r="D99" s="1437"/>
      <c r="E99" s="1437"/>
      <c r="F99" s="1438"/>
      <c r="G99" s="518" t="s">
        <v>129</v>
      </c>
      <c r="H99" s="1730"/>
      <c r="I99" s="1729"/>
      <c r="J99" s="53"/>
      <c r="K99" s="53"/>
      <c r="L99" s="53"/>
    </row>
    <row r="100" spans="1:12" x14ac:dyDescent="0.25">
      <c r="A100" s="53"/>
      <c r="B100" s="54"/>
      <c r="C100" s="54"/>
      <c r="D100" s="54"/>
      <c r="E100" s="54"/>
      <c r="F100" s="53"/>
      <c r="G100" s="53"/>
      <c r="H100" s="53"/>
      <c r="I100" s="53"/>
      <c r="J100" s="85"/>
      <c r="K100" s="85"/>
    </row>
    <row r="101" spans="1:12" ht="16.5" customHeight="1" x14ac:dyDescent="0.25">
      <c r="A101" s="1986" t="s">
        <v>25</v>
      </c>
      <c r="B101" s="1986"/>
      <c r="C101" s="1986"/>
      <c r="D101" s="54"/>
      <c r="E101" s="54"/>
      <c r="F101" s="54"/>
      <c r="G101" s="54"/>
      <c r="H101" s="54"/>
      <c r="I101" s="54"/>
      <c r="J101" s="54"/>
      <c r="K101" s="54"/>
    </row>
    <row r="102" spans="1:12" ht="16.5" customHeight="1" x14ac:dyDescent="0.25">
      <c r="A102" s="53"/>
      <c r="B102" s="54"/>
      <c r="C102" s="54"/>
      <c r="D102" s="54"/>
      <c r="E102" s="54"/>
      <c r="F102" s="53"/>
      <c r="G102" s="53"/>
      <c r="H102" s="53"/>
      <c r="I102" s="53"/>
      <c r="J102" s="53"/>
      <c r="K102" s="53"/>
    </row>
    <row r="103" spans="1:12" ht="18" customHeight="1" x14ac:dyDescent="0.25">
      <c r="A103" s="53"/>
      <c r="B103" s="264" t="s">
        <v>56</v>
      </c>
      <c r="C103" s="1193">
        <f>IFERROR(IF((D72+D73+D74)/E92&lt;=5,2,IF((D72+D73+D74)/E92&lt;=10,1,0)),0)</f>
        <v>0</v>
      </c>
      <c r="D103" s="54"/>
      <c r="E103" s="54"/>
      <c r="F103" s="53"/>
      <c r="G103" s="53"/>
      <c r="H103" s="53"/>
      <c r="I103" s="53"/>
      <c r="J103" s="53"/>
      <c r="K103" s="53"/>
    </row>
    <row r="104" spans="1:12" ht="18" customHeight="1" x14ac:dyDescent="0.25">
      <c r="A104" s="53"/>
      <c r="B104" s="265" t="s">
        <v>521</v>
      </c>
      <c r="C104" s="203" t="str">
        <f>IF(AND(COUNTIF(G99:G99,"Submitted")=1,C103&gt;0),"Yes","No")</f>
        <v>No</v>
      </c>
      <c r="D104" s="54"/>
      <c r="E104" s="54"/>
      <c r="F104" s="53"/>
      <c r="G104" s="53"/>
      <c r="H104" s="53"/>
      <c r="I104" s="53"/>
      <c r="J104" s="53"/>
      <c r="K104" s="53"/>
    </row>
    <row r="105" spans="1:12" ht="18.75" customHeight="1" x14ac:dyDescent="0.25">
      <c r="A105" s="53"/>
      <c r="B105" s="54"/>
      <c r="C105" s="54"/>
      <c r="D105" s="54"/>
      <c r="E105" s="54"/>
      <c r="F105" s="53"/>
      <c r="G105" s="53"/>
      <c r="H105" s="53"/>
      <c r="I105" s="53"/>
      <c r="J105" s="53"/>
      <c r="K105" s="53"/>
    </row>
    <row r="106" spans="1:12" hidden="1" x14ac:dyDescent="0.25"/>
    <row r="107" spans="1:12" hidden="1" x14ac:dyDescent="0.25"/>
    <row r="108" spans="1:12" hidden="1" x14ac:dyDescent="0.25"/>
    <row r="109" spans="1:12" hidden="1" x14ac:dyDescent="0.25"/>
  </sheetData>
  <sheetProtection algorithmName="SHA-512" hashValue="S9XwNnIWKC2LDnMeeF8ogE/gPF1x7sBKr3rZFZckLe3EuenbvnmaP5ed0WBkhLvtlO2C2WPEoPqVgGiJ7q2svg==" saltValue="w9a7cpY2T1Ggx8/Z1eJCDA==" spinCount="100000" sheet="1" objects="1" scenarios="1"/>
  <mergeCells count="61">
    <mergeCell ref="A5:K7"/>
    <mergeCell ref="B98:F98"/>
    <mergeCell ref="H98:I98"/>
    <mergeCell ref="H99:I99"/>
    <mergeCell ref="H51:I51"/>
    <mergeCell ref="H52:I52"/>
    <mergeCell ref="G84:G86"/>
    <mergeCell ref="B73:C73"/>
    <mergeCell ref="B69:I70"/>
    <mergeCell ref="A65:C65"/>
    <mergeCell ref="H84:I86"/>
    <mergeCell ref="A96:C96"/>
    <mergeCell ref="D94:E94"/>
    <mergeCell ref="H80:I80"/>
    <mergeCell ref="H81:I81"/>
    <mergeCell ref="B50:F50"/>
    <mergeCell ref="A1:K1"/>
    <mergeCell ref="A59:K59"/>
    <mergeCell ref="A16:K16"/>
    <mergeCell ref="A9:K9"/>
    <mergeCell ref="A18:C18"/>
    <mergeCell ref="B14:E14"/>
    <mergeCell ref="B37:C37"/>
    <mergeCell ref="B38:C38"/>
    <mergeCell ref="B39:C39"/>
    <mergeCell ref="B40:C40"/>
    <mergeCell ref="A24:C24"/>
    <mergeCell ref="G2:H4"/>
    <mergeCell ref="B12:E12"/>
    <mergeCell ref="B11:E11"/>
    <mergeCell ref="B13:E13"/>
    <mergeCell ref="B30:C30"/>
    <mergeCell ref="A101:C101"/>
    <mergeCell ref="A48:C48"/>
    <mergeCell ref="A54:C54"/>
    <mergeCell ref="B72:C72"/>
    <mergeCell ref="B94:C94"/>
    <mergeCell ref="B99:F99"/>
    <mergeCell ref="B51:F51"/>
    <mergeCell ref="B52:F52"/>
    <mergeCell ref="A61:C61"/>
    <mergeCell ref="F74:K75"/>
    <mergeCell ref="B74:C74"/>
    <mergeCell ref="H82:I82"/>
    <mergeCell ref="H83:I83"/>
    <mergeCell ref="H77:I77"/>
    <mergeCell ref="H78:I78"/>
    <mergeCell ref="H79:I79"/>
    <mergeCell ref="H76:I76"/>
    <mergeCell ref="B33:C33"/>
    <mergeCell ref="B34:C34"/>
    <mergeCell ref="B35:C35"/>
    <mergeCell ref="B36:C36"/>
    <mergeCell ref="B28:C28"/>
    <mergeCell ref="B42:C42"/>
    <mergeCell ref="B31:C31"/>
    <mergeCell ref="H50:I50"/>
    <mergeCell ref="B32:C32"/>
    <mergeCell ref="B43:C43"/>
    <mergeCell ref="B41:C41"/>
    <mergeCell ref="B46:C46"/>
  </mergeCells>
  <conditionalFormatting sqref="G99">
    <cfRule type="expression" dxfId="57" priority="6">
      <formula>#REF!&lt;&gt;"Prescriptive Path"</formula>
    </cfRule>
  </conditionalFormatting>
  <conditionalFormatting sqref="G51:G52">
    <cfRule type="expression" dxfId="56" priority="5">
      <formula>#REF!&lt;&gt;"Prescriptive Path"</formula>
    </cfRule>
  </conditionalFormatting>
  <conditionalFormatting sqref="H50:I50">
    <cfRule type="expression" dxfId="55" priority="4">
      <formula>#REF!&lt;&gt;"Prescriptive Path"</formula>
    </cfRule>
  </conditionalFormatting>
  <conditionalFormatting sqref="H98:I98">
    <cfRule type="expression" dxfId="54" priority="3">
      <formula>#REF!&lt;&gt;"Prescriptive Path"</formula>
    </cfRule>
  </conditionalFormatting>
  <conditionalFormatting sqref="H99">
    <cfRule type="expression" dxfId="53" priority="2">
      <formula>#REF!&lt;&gt;"Prescriptive Path"</formula>
    </cfRule>
  </conditionalFormatting>
  <conditionalFormatting sqref="H51:H52">
    <cfRule type="expression" dxfId="52" priority="1">
      <formula>#REF!&lt;&gt;"Prescriptive Path"</formula>
    </cfRule>
  </conditionalFormatting>
  <dataValidations count="5">
    <dataValidation type="list" allowBlank="1" showInputMessage="1" showErrorMessage="1" sqref="G51:G52">
      <formula1>"Submitted,Not submitted"</formula1>
    </dataValidation>
    <dataValidation allowBlank="1" showInputMessage="1" showErrorMessage="1" prompt="Enter the name of the plant" sqref="B77:B91"/>
    <dataValidation allowBlank="1" showInputMessage="1" showErrorMessage="1" prompt="Enter the name of the vegetation species and the type of vegetation (grass, shrub, tree, etc.)" sqref="B31:C43"/>
    <dataValidation allowBlank="1" showInputMessage="1" showErrorMessage="1" prompt="Width of the opening at the top of the pot" sqref="G76 D76:D91"/>
    <dataValidation type="list" allowBlank="1" showInputMessage="1" showErrorMessage="1" sqref="G99">
      <formula1>"Select,Submitted,Not submitted"</formula1>
    </dataValidation>
  </dataValidations>
  <hyperlinks>
    <hyperlink ref="J2" location="'LE-5 Storm Water Runoff'!E3" tooltip="LE-5" display="LE-5"/>
    <hyperlink ref="J4" location="'LE-7 Refrigerants'!E3" tooltip="LE-7" display="LE-7"/>
    <hyperlink ref="I3" location="'LE-2 Site design'!B3" tooltip="LE-2" display="LE-2"/>
    <hyperlink ref="I4" location="'LE-4 Heat Island Effect'!E3" tooltip="LE-4" display="LE-4"/>
    <hyperlink ref="K2" location="'LE-8 Waste Management'!E3" tooltip="LE-8" display="LE-8"/>
    <hyperlink ref="K3" location="'LE BPC'!E3" tooltip="BPC" display="BPC"/>
    <hyperlink ref="J3" location="'LE-6 Flood Risk Mitigation'!E3" tooltip="LE-6" display="LE-6"/>
    <hyperlink ref="I2" location="'LE-1 Site Selection'!B3" tooltip="LE-1" display="LE-1"/>
  </hyperlinks>
  <pageMargins left="0.7" right="0.7" top="0.75" bottom="0.75" header="0.3" footer="0.3"/>
  <pageSetup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6923C"/>
  </sheetPr>
  <dimension ref="A1:S87"/>
  <sheetViews>
    <sheetView showGridLines="0" showRowColHeaders="0" workbookViewId="0">
      <pane ySplit="8" topLeftCell="A9" activePane="bottomLeft" state="frozen"/>
      <selection activeCell="M21" sqref="M21"/>
      <selection pane="bottomLeft" activeCell="A9" sqref="A9:K9"/>
    </sheetView>
  </sheetViews>
  <sheetFormatPr defaultColWidth="0" defaultRowHeight="15" zeroHeight="1" x14ac:dyDescent="0.25"/>
  <cols>
    <col min="1" max="1" width="3.42578125" style="42" customWidth="1"/>
    <col min="2" max="2" width="19.7109375" style="42" customWidth="1"/>
    <col min="3" max="3" width="23" style="42" customWidth="1"/>
    <col min="4" max="4" width="20.7109375" style="42" customWidth="1"/>
    <col min="5" max="5" width="19.85546875" style="42" customWidth="1"/>
    <col min="6" max="8" width="19.7109375" style="42" customWidth="1"/>
    <col min="9" max="11" width="8.7109375" style="42" customWidth="1"/>
    <col min="12" max="14" width="9.140625" style="42" hidden="1" customWidth="1"/>
    <col min="15" max="15" width="8" style="42" hidden="1" customWidth="1"/>
    <col min="16" max="16" width="17.5703125" style="42" hidden="1" customWidth="1"/>
    <col min="17" max="17" width="12.140625" style="42" hidden="1" customWidth="1"/>
    <col min="18" max="16384" width="9.140625" style="42" hidden="1"/>
  </cols>
  <sheetData>
    <row r="1" spans="1:14" ht="24.75" customHeight="1" x14ac:dyDescent="0.25">
      <c r="A1" s="1975" t="s">
        <v>5</v>
      </c>
      <c r="B1" s="1975"/>
      <c r="C1" s="1975"/>
      <c r="D1" s="1975"/>
      <c r="E1" s="1975"/>
      <c r="F1" s="1975"/>
      <c r="G1" s="1975"/>
      <c r="H1" s="1975"/>
      <c r="I1" s="1975"/>
      <c r="J1" s="1975"/>
      <c r="K1" s="1975"/>
    </row>
    <row r="2" spans="1:14" ht="15" customHeight="1" x14ac:dyDescent="0.25">
      <c r="A2" s="53"/>
      <c r="B2" s="54"/>
      <c r="C2" s="54"/>
      <c r="D2" s="54"/>
      <c r="E2" s="54"/>
      <c r="F2" s="53"/>
      <c r="G2" s="1426" t="s">
        <v>2108</v>
      </c>
      <c r="H2" s="1426"/>
      <c r="I2" s="258" t="s">
        <v>60</v>
      </c>
      <c r="J2" s="258" t="s">
        <v>76</v>
      </c>
      <c r="K2" s="258" t="s">
        <v>160</v>
      </c>
    </row>
    <row r="3" spans="1:14" ht="15" customHeight="1" x14ac:dyDescent="0.25">
      <c r="A3" s="53"/>
      <c r="B3" s="54"/>
      <c r="C3" s="54"/>
      <c r="D3" s="54"/>
      <c r="E3" s="54"/>
      <c r="F3" s="53"/>
      <c r="G3" s="1426"/>
      <c r="H3" s="1426"/>
      <c r="I3" s="258" t="s">
        <v>64</v>
      </c>
      <c r="J3" s="258" t="s">
        <v>80</v>
      </c>
      <c r="K3" s="258" t="s">
        <v>79</v>
      </c>
    </row>
    <row r="4" spans="1:14" ht="15" customHeight="1" x14ac:dyDescent="0.25">
      <c r="A4" s="53"/>
      <c r="B4" s="54"/>
      <c r="C4" s="54"/>
      <c r="D4" s="54"/>
      <c r="E4" s="54"/>
      <c r="F4" s="53"/>
      <c r="G4" s="1652"/>
      <c r="H4" s="1652"/>
      <c r="I4" s="258" t="s">
        <v>68</v>
      </c>
      <c r="J4" s="258" t="s">
        <v>131</v>
      </c>
      <c r="K4" s="240"/>
    </row>
    <row r="5" spans="1:14" ht="18" customHeight="1" x14ac:dyDescent="0.25">
      <c r="A5" s="1417" t="s">
        <v>2427</v>
      </c>
      <c r="B5" s="1418"/>
      <c r="C5" s="1418"/>
      <c r="D5" s="1418"/>
      <c r="E5" s="1418"/>
      <c r="F5" s="1418"/>
      <c r="G5" s="1418"/>
      <c r="H5" s="1418"/>
      <c r="I5" s="1418"/>
      <c r="J5" s="1418"/>
      <c r="K5" s="1418"/>
      <c r="L5" s="193"/>
      <c r="M5" s="193"/>
      <c r="N5" s="194"/>
    </row>
    <row r="6" spans="1:14" ht="18" customHeight="1" x14ac:dyDescent="0.25">
      <c r="A6" s="1420"/>
      <c r="B6" s="1421"/>
      <c r="C6" s="1421"/>
      <c r="D6" s="1421"/>
      <c r="E6" s="1421"/>
      <c r="F6" s="1421"/>
      <c r="G6" s="1421"/>
      <c r="H6" s="1421"/>
      <c r="I6" s="1421"/>
      <c r="J6" s="1421"/>
      <c r="K6" s="1421"/>
      <c r="L6" s="195"/>
      <c r="M6" s="195"/>
      <c r="N6" s="196"/>
    </row>
    <row r="7" spans="1:14" ht="18" customHeight="1" x14ac:dyDescent="0.25">
      <c r="A7" s="1423"/>
      <c r="B7" s="1424"/>
      <c r="C7" s="1424"/>
      <c r="D7" s="1424"/>
      <c r="E7" s="1424"/>
      <c r="F7" s="1424"/>
      <c r="G7" s="1424"/>
      <c r="H7" s="1424"/>
      <c r="I7" s="1424"/>
      <c r="J7" s="1424"/>
      <c r="K7" s="1424"/>
      <c r="L7" s="197"/>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1974" t="s">
        <v>191</v>
      </c>
      <c r="B9" s="1974"/>
      <c r="C9" s="1974"/>
      <c r="D9" s="1974"/>
      <c r="E9" s="1974"/>
      <c r="F9" s="1974"/>
      <c r="G9" s="1974"/>
      <c r="H9" s="1974"/>
      <c r="I9" s="1974"/>
      <c r="J9" s="1974"/>
      <c r="K9" s="1974"/>
    </row>
    <row r="10" spans="1:14" ht="16.5" customHeight="1" x14ac:dyDescent="0.25">
      <c r="A10" s="53"/>
      <c r="B10" s="54"/>
      <c r="C10" s="54"/>
      <c r="D10" s="54"/>
      <c r="E10" s="54"/>
      <c r="F10" s="53"/>
      <c r="G10" s="53"/>
      <c r="H10" s="53"/>
      <c r="I10" s="53"/>
      <c r="J10" s="53"/>
      <c r="K10" s="53"/>
    </row>
    <row r="11" spans="1:14" ht="19.5" customHeight="1" x14ac:dyDescent="0.25">
      <c r="A11" s="53"/>
      <c r="B11" s="1984" t="s">
        <v>192</v>
      </c>
      <c r="C11" s="1985"/>
      <c r="D11" s="1985"/>
      <c r="E11" s="1985"/>
      <c r="F11" s="715" t="s">
        <v>157</v>
      </c>
      <c r="G11" s="715" t="s">
        <v>56</v>
      </c>
      <c r="H11" s="60" t="s">
        <v>521</v>
      </c>
      <c r="I11" s="53"/>
      <c r="J11" s="53"/>
      <c r="K11" s="53"/>
    </row>
    <row r="12" spans="1:14" ht="30" customHeight="1" x14ac:dyDescent="0.25">
      <c r="A12" s="53"/>
      <c r="B12" s="1430" t="s">
        <v>6</v>
      </c>
      <c r="C12" s="1431"/>
      <c r="D12" s="1431"/>
      <c r="E12" s="1973"/>
      <c r="F12" s="59">
        <v>2</v>
      </c>
      <c r="G12" s="59">
        <f>C80</f>
        <v>0</v>
      </c>
      <c r="H12" s="59" t="str">
        <f>C81</f>
        <v>No</v>
      </c>
      <c r="I12" s="88"/>
      <c r="J12" s="88"/>
      <c r="K12" s="53"/>
    </row>
    <row r="13" spans="1:14" ht="16.5" customHeight="1" x14ac:dyDescent="0.25">
      <c r="A13" s="53"/>
      <c r="B13" s="54"/>
      <c r="C13" s="54"/>
      <c r="D13" s="54"/>
      <c r="E13" s="54"/>
      <c r="F13" s="53"/>
      <c r="G13" s="53"/>
      <c r="H13" s="53"/>
      <c r="I13" s="53"/>
      <c r="J13" s="53"/>
      <c r="K13" s="53"/>
    </row>
    <row r="14" spans="1:14" ht="18" customHeight="1" x14ac:dyDescent="0.25">
      <c r="A14" s="1974" t="s">
        <v>265</v>
      </c>
      <c r="B14" s="1974"/>
      <c r="C14" s="1974"/>
      <c r="D14" s="1974"/>
      <c r="E14" s="1974"/>
      <c r="F14" s="1974"/>
      <c r="G14" s="1974"/>
      <c r="H14" s="1974"/>
      <c r="I14" s="1974"/>
      <c r="J14" s="1974"/>
      <c r="K14" s="1974"/>
    </row>
    <row r="15" spans="1:14" ht="12" customHeight="1" x14ac:dyDescent="0.25">
      <c r="A15" s="53"/>
      <c r="B15" s="54"/>
      <c r="C15" s="54"/>
      <c r="D15" s="54"/>
      <c r="E15" s="54"/>
      <c r="F15" s="53"/>
      <c r="G15" s="53"/>
      <c r="H15" s="53"/>
      <c r="I15" s="53"/>
      <c r="J15" s="53"/>
      <c r="K15" s="53"/>
      <c r="M15" s="42" t="s">
        <v>39</v>
      </c>
    </row>
    <row r="16" spans="1:14" x14ac:dyDescent="0.25">
      <c r="A16" s="53"/>
      <c r="B16" s="719" t="s">
        <v>1050</v>
      </c>
      <c r="C16" s="53"/>
      <c r="D16" s="53"/>
      <c r="E16" s="53"/>
      <c r="F16" s="53"/>
      <c r="G16" s="53"/>
      <c r="H16" s="53"/>
      <c r="I16" s="53"/>
      <c r="J16" s="53"/>
      <c r="K16" s="53"/>
      <c r="M16" s="42" t="s">
        <v>129</v>
      </c>
    </row>
    <row r="17" spans="1:11" x14ac:dyDescent="0.25">
      <c r="A17" s="53"/>
      <c r="B17" s="466"/>
      <c r="C17" s="53"/>
      <c r="D17" s="53"/>
      <c r="E17" s="53"/>
      <c r="F17" s="53"/>
      <c r="G17" s="53"/>
      <c r="H17" s="53"/>
      <c r="I17" s="53"/>
      <c r="J17" s="53"/>
      <c r="K17" s="53"/>
    </row>
    <row r="18" spans="1:11" x14ac:dyDescent="0.25">
      <c r="A18" s="53"/>
      <c r="B18" s="2035" t="s">
        <v>1338</v>
      </c>
      <c r="C18" s="2036"/>
      <c r="D18" s="2036"/>
      <c r="E18" s="2036"/>
      <c r="F18" s="2036"/>
      <c r="G18" s="2036"/>
      <c r="H18" s="2037"/>
      <c r="I18" s="53"/>
      <c r="J18" s="53"/>
      <c r="K18" s="53"/>
    </row>
    <row r="19" spans="1:11" x14ac:dyDescent="0.25">
      <c r="A19" s="53"/>
      <c r="B19" s="2025" t="s">
        <v>1056</v>
      </c>
      <c r="C19" s="2026"/>
      <c r="D19" s="2026"/>
      <c r="E19" s="2026"/>
      <c r="F19" s="2026"/>
      <c r="G19" s="2026"/>
      <c r="H19" s="2027"/>
      <c r="I19" s="53"/>
      <c r="J19" s="53"/>
      <c r="K19" s="53"/>
    </row>
    <row r="20" spans="1:11" x14ac:dyDescent="0.25">
      <c r="A20" s="53"/>
      <c r="B20" s="2025" t="s">
        <v>1052</v>
      </c>
      <c r="C20" s="2026"/>
      <c r="D20" s="2026"/>
      <c r="E20" s="2026"/>
      <c r="F20" s="2026"/>
      <c r="G20" s="2026"/>
      <c r="H20" s="2027"/>
      <c r="I20" s="53"/>
      <c r="J20" s="53"/>
      <c r="K20" s="53"/>
    </row>
    <row r="21" spans="1:11" x14ac:dyDescent="0.25">
      <c r="A21" s="53"/>
      <c r="B21" s="2032" t="s">
        <v>1053</v>
      </c>
      <c r="C21" s="2033"/>
      <c r="D21" s="2033"/>
      <c r="E21" s="2033"/>
      <c r="F21" s="2033"/>
      <c r="G21" s="2033"/>
      <c r="H21" s="2034"/>
      <c r="I21" s="53"/>
      <c r="J21" s="53"/>
      <c r="K21" s="53"/>
    </row>
    <row r="22" spans="1:11" ht="11.25" customHeight="1" x14ac:dyDescent="0.25">
      <c r="A22" s="53"/>
      <c r="B22" s="466"/>
      <c r="C22" s="53"/>
      <c r="D22" s="53"/>
      <c r="E22" s="53"/>
      <c r="F22" s="53"/>
      <c r="G22" s="53"/>
      <c r="H22" s="53"/>
      <c r="I22" s="53"/>
      <c r="J22" s="53"/>
      <c r="K22" s="53"/>
    </row>
    <row r="23" spans="1:11" x14ac:dyDescent="0.25">
      <c r="A23" s="53"/>
      <c r="B23" s="2035" t="s">
        <v>1339</v>
      </c>
      <c r="C23" s="2036"/>
      <c r="D23" s="2036"/>
      <c r="E23" s="2036"/>
      <c r="F23" s="2036"/>
      <c r="G23" s="2036"/>
      <c r="H23" s="2037"/>
      <c r="I23" s="53"/>
      <c r="J23" s="53"/>
      <c r="K23" s="53"/>
    </row>
    <row r="24" spans="1:11" ht="15" customHeight="1" x14ac:dyDescent="0.25">
      <c r="A24" s="53"/>
      <c r="B24" s="2025" t="s">
        <v>1922</v>
      </c>
      <c r="C24" s="2026"/>
      <c r="D24" s="2026"/>
      <c r="E24" s="2026"/>
      <c r="F24" s="2026"/>
      <c r="G24" s="2026"/>
      <c r="H24" s="2027"/>
      <c r="I24" s="53"/>
      <c r="J24" s="53"/>
      <c r="K24" s="53"/>
    </row>
    <row r="25" spans="1:11" ht="15" customHeight="1" x14ac:dyDescent="0.25">
      <c r="A25" s="53"/>
      <c r="B25" s="2025" t="s">
        <v>1055</v>
      </c>
      <c r="C25" s="2026"/>
      <c r="D25" s="2026"/>
      <c r="E25" s="2026"/>
      <c r="F25" s="2026"/>
      <c r="G25" s="2026"/>
      <c r="H25" s="2027"/>
      <c r="I25" s="53"/>
      <c r="J25" s="53"/>
      <c r="K25" s="53"/>
    </row>
    <row r="26" spans="1:11" ht="15" customHeight="1" x14ac:dyDescent="0.25">
      <c r="A26" s="53"/>
      <c r="B26" s="2025" t="s">
        <v>1054</v>
      </c>
      <c r="C26" s="2026"/>
      <c r="D26" s="2026"/>
      <c r="E26" s="2026"/>
      <c r="F26" s="2026"/>
      <c r="G26" s="2026"/>
      <c r="H26" s="2027"/>
      <c r="I26" s="53"/>
      <c r="J26" s="53"/>
      <c r="K26" s="53"/>
    </row>
    <row r="27" spans="1:11" ht="15" customHeight="1" x14ac:dyDescent="0.25">
      <c r="A27" s="53"/>
      <c r="B27" s="2032" t="s">
        <v>1051</v>
      </c>
      <c r="C27" s="2033"/>
      <c r="D27" s="2033"/>
      <c r="E27" s="2033"/>
      <c r="F27" s="2033"/>
      <c r="G27" s="2033"/>
      <c r="H27" s="2034"/>
      <c r="I27" s="53"/>
      <c r="J27" s="53"/>
      <c r="K27" s="53"/>
    </row>
    <row r="28" spans="1:11" ht="18" customHeight="1" x14ac:dyDescent="0.25">
      <c r="A28" s="53"/>
      <c r="B28" s="466"/>
      <c r="C28" s="54"/>
      <c r="D28" s="54"/>
      <c r="E28" s="54"/>
      <c r="F28" s="53"/>
      <c r="G28" s="53"/>
      <c r="H28" s="53"/>
      <c r="I28" s="53"/>
      <c r="J28" s="53"/>
      <c r="K28" s="53"/>
    </row>
    <row r="29" spans="1:11" ht="18" customHeight="1" x14ac:dyDescent="0.25">
      <c r="A29" s="1974" t="s">
        <v>26</v>
      </c>
      <c r="B29" s="1974"/>
      <c r="C29" s="1974"/>
      <c r="D29" s="1974"/>
      <c r="E29" s="1974"/>
      <c r="F29" s="1974"/>
      <c r="G29" s="1974"/>
      <c r="H29" s="1974"/>
      <c r="I29" s="1974"/>
      <c r="J29" s="1974"/>
      <c r="K29" s="1974"/>
    </row>
    <row r="30" spans="1:11" x14ac:dyDescent="0.25">
      <c r="A30" s="53"/>
      <c r="B30" s="54"/>
      <c r="C30" s="54"/>
      <c r="D30" s="54"/>
      <c r="E30" s="54"/>
      <c r="F30" s="53"/>
      <c r="G30" s="53"/>
      <c r="H30" s="53"/>
      <c r="I30" s="53"/>
      <c r="J30" s="53"/>
      <c r="K30" s="53"/>
    </row>
    <row r="31" spans="1:11" x14ac:dyDescent="0.25">
      <c r="A31" s="53"/>
      <c r="B31" s="749" t="s">
        <v>1351</v>
      </c>
      <c r="C31" s="54"/>
      <c r="D31" s="54"/>
      <c r="E31" s="54"/>
      <c r="F31" s="53"/>
      <c r="G31" s="53"/>
      <c r="H31" s="53"/>
      <c r="I31" s="53"/>
      <c r="J31" s="53"/>
      <c r="K31" s="53"/>
    </row>
    <row r="32" spans="1:11" x14ac:dyDescent="0.25">
      <c r="A32" s="53"/>
      <c r="B32" s="223"/>
      <c r="C32" s="53"/>
      <c r="D32" s="53"/>
      <c r="E32" s="53"/>
      <c r="F32" s="53"/>
      <c r="G32" s="53"/>
      <c r="H32" s="53"/>
      <c r="I32" s="53"/>
      <c r="J32" s="53"/>
      <c r="K32" s="53"/>
    </row>
    <row r="33" spans="1:18" x14ac:dyDescent="0.25">
      <c r="A33" s="53"/>
      <c r="B33" s="750" t="s">
        <v>1352</v>
      </c>
      <c r="C33" s="53"/>
      <c r="D33" s="53"/>
      <c r="E33" s="53"/>
      <c r="F33" s="53"/>
      <c r="G33" s="53"/>
      <c r="H33" s="53"/>
      <c r="I33" s="53"/>
      <c r="J33" s="53"/>
      <c r="K33" s="53"/>
      <c r="M33" s="42" t="s">
        <v>39</v>
      </c>
    </row>
    <row r="34" spans="1:18" x14ac:dyDescent="0.25">
      <c r="A34" s="53"/>
      <c r="B34" s="223"/>
      <c r="C34" s="53"/>
      <c r="D34" s="53"/>
      <c r="E34" s="53"/>
      <c r="F34" s="53"/>
      <c r="G34" s="53"/>
      <c r="H34" s="53"/>
      <c r="I34" s="53"/>
      <c r="J34" s="53"/>
      <c r="K34" s="53"/>
      <c r="M34" s="42" t="s">
        <v>129</v>
      </c>
    </row>
    <row r="35" spans="1:18" x14ac:dyDescent="0.25">
      <c r="A35" s="53"/>
      <c r="B35" s="466" t="s">
        <v>848</v>
      </c>
      <c r="C35" s="54"/>
      <c r="D35" s="54"/>
      <c r="E35" s="53"/>
      <c r="F35" s="53"/>
      <c r="G35" s="53"/>
      <c r="H35" s="53"/>
      <c r="I35" s="53"/>
      <c r="J35" s="53"/>
      <c r="K35" s="53"/>
      <c r="M35" s="42" t="s">
        <v>40</v>
      </c>
    </row>
    <row r="36" spans="1:18" ht="6" customHeight="1" x14ac:dyDescent="0.25">
      <c r="A36" s="53"/>
      <c r="B36" s="466"/>
      <c r="C36" s="54"/>
      <c r="D36" s="54"/>
      <c r="E36" s="53"/>
      <c r="F36" s="53"/>
      <c r="G36" s="53"/>
      <c r="H36" s="53"/>
      <c r="I36" s="53"/>
      <c r="J36" s="53"/>
      <c r="K36" s="53"/>
      <c r="M36" s="10" t="s">
        <v>1663</v>
      </c>
    </row>
    <row r="37" spans="1:18" ht="16.5" customHeight="1" x14ac:dyDescent="0.25">
      <c r="A37" s="53"/>
      <c r="B37" s="2038" t="s">
        <v>252</v>
      </c>
      <c r="C37" s="2039"/>
      <c r="D37" s="184"/>
      <c r="E37" s="53"/>
      <c r="F37" s="53"/>
      <c r="G37" s="53"/>
      <c r="H37" s="53"/>
      <c r="I37" s="53"/>
      <c r="J37" s="53"/>
      <c r="K37" s="53"/>
    </row>
    <row r="38" spans="1:18" ht="16.5" customHeight="1" x14ac:dyDescent="0.25">
      <c r="A38" s="53"/>
      <c r="B38" s="2038" t="s">
        <v>41</v>
      </c>
      <c r="C38" s="2039"/>
      <c r="D38" s="184"/>
      <c r="E38" s="53"/>
      <c r="F38" s="53"/>
      <c r="G38" s="53"/>
      <c r="H38" s="53"/>
      <c r="I38" s="53"/>
      <c r="J38" s="53"/>
      <c r="K38" s="53"/>
    </row>
    <row r="39" spans="1:18" x14ac:dyDescent="0.25">
      <c r="A39" s="53"/>
      <c r="B39" s="54"/>
      <c r="C39" s="54"/>
      <c r="D39" s="54"/>
      <c r="E39" s="54"/>
      <c r="F39" s="53"/>
      <c r="G39" s="53"/>
      <c r="H39" s="53"/>
      <c r="I39" s="53"/>
      <c r="J39" s="53"/>
      <c r="K39" s="53"/>
    </row>
    <row r="40" spans="1:18" ht="23.25" customHeight="1" x14ac:dyDescent="0.25">
      <c r="A40" s="53"/>
      <c r="B40" s="770" t="s">
        <v>42</v>
      </c>
      <c r="C40" s="771" t="s">
        <v>44</v>
      </c>
      <c r="D40" s="772" t="s">
        <v>45</v>
      </c>
      <c r="E40" s="771" t="s">
        <v>43</v>
      </c>
      <c r="F40" s="771" t="s">
        <v>46</v>
      </c>
      <c r="G40" s="2000" t="s">
        <v>33</v>
      </c>
      <c r="H40" s="2001"/>
      <c r="I40" s="53"/>
      <c r="J40" s="53"/>
      <c r="K40" s="53"/>
    </row>
    <row r="41" spans="1:18" x14ac:dyDescent="0.25">
      <c r="A41" s="53"/>
      <c r="B41" s="733"/>
      <c r="C41" s="733" t="s">
        <v>129</v>
      </c>
      <c r="D41" s="733" t="s">
        <v>129</v>
      </c>
      <c r="E41" s="733"/>
      <c r="F41" s="873" t="str">
        <f t="shared" ref="F41:F47" si="0">IF(OR(D41="Select",D41=""),"",IF(D41="No",0,E41))</f>
        <v/>
      </c>
      <c r="G41" s="2028"/>
      <c r="H41" s="2029"/>
      <c r="I41" s="53"/>
      <c r="J41" s="53"/>
      <c r="K41" s="53"/>
      <c r="M41" s="42" t="s">
        <v>47</v>
      </c>
      <c r="N41" s="42" t="s">
        <v>129</v>
      </c>
      <c r="O41" s="42" t="s">
        <v>9</v>
      </c>
      <c r="P41" s="42" t="str">
        <f t="shared" ref="P41:P47" si="1">IF(C41="steep slope","SRI higher than 29","SRI higher than 78")</f>
        <v>SRI higher than 78</v>
      </c>
      <c r="Q41" s="42" t="s">
        <v>48</v>
      </c>
      <c r="R41" s="42" t="s">
        <v>49</v>
      </c>
    </row>
    <row r="42" spans="1:18" x14ac:dyDescent="0.25">
      <c r="A42" s="53"/>
      <c r="B42" s="888"/>
      <c r="C42" s="888" t="s">
        <v>129</v>
      </c>
      <c r="D42" s="888" t="s">
        <v>129</v>
      </c>
      <c r="E42" s="888"/>
      <c r="F42" s="873" t="str">
        <f t="shared" si="0"/>
        <v/>
      </c>
      <c r="G42" s="2028"/>
      <c r="H42" s="2029"/>
      <c r="I42" s="53"/>
      <c r="J42" s="53"/>
      <c r="K42" s="53"/>
      <c r="M42" s="42" t="s">
        <v>47</v>
      </c>
      <c r="N42" s="42" t="s">
        <v>129</v>
      </c>
      <c r="O42" s="42" t="s">
        <v>9</v>
      </c>
      <c r="P42" s="42" t="str">
        <f t="shared" si="1"/>
        <v>SRI higher than 78</v>
      </c>
      <c r="Q42" s="42" t="s">
        <v>48</v>
      </c>
      <c r="R42" s="42" t="s">
        <v>49</v>
      </c>
    </row>
    <row r="43" spans="1:18" x14ac:dyDescent="0.25">
      <c r="A43" s="53"/>
      <c r="B43" s="888"/>
      <c r="C43" s="888" t="s">
        <v>129</v>
      </c>
      <c r="D43" s="888" t="s">
        <v>129</v>
      </c>
      <c r="E43" s="888"/>
      <c r="F43" s="873" t="str">
        <f t="shared" si="0"/>
        <v/>
      </c>
      <c r="G43" s="2028"/>
      <c r="H43" s="2029"/>
      <c r="I43" s="53"/>
      <c r="J43" s="53"/>
      <c r="K43" s="53"/>
      <c r="M43" s="42" t="s">
        <v>47</v>
      </c>
      <c r="N43" s="42" t="s">
        <v>129</v>
      </c>
      <c r="O43" s="42" t="s">
        <v>9</v>
      </c>
      <c r="P43" s="42" t="str">
        <f t="shared" si="1"/>
        <v>SRI higher than 78</v>
      </c>
      <c r="Q43" s="42" t="s">
        <v>48</v>
      </c>
      <c r="R43" s="42" t="s">
        <v>49</v>
      </c>
    </row>
    <row r="44" spans="1:18" x14ac:dyDescent="0.25">
      <c r="A44" s="53"/>
      <c r="B44" s="531"/>
      <c r="C44" s="518" t="s">
        <v>129</v>
      </c>
      <c r="D44" s="518" t="s">
        <v>129</v>
      </c>
      <c r="E44" s="184"/>
      <c r="F44" s="67" t="str">
        <f t="shared" si="0"/>
        <v/>
      </c>
      <c r="G44" s="2028"/>
      <c r="H44" s="2029"/>
      <c r="I44" s="53"/>
      <c r="J44" s="53"/>
      <c r="K44" s="53"/>
      <c r="N44" s="42" t="s">
        <v>129</v>
      </c>
      <c r="O44" s="42" t="s">
        <v>9</v>
      </c>
      <c r="P44" s="42" t="str">
        <f t="shared" si="1"/>
        <v>SRI higher than 78</v>
      </c>
      <c r="Q44" s="42" t="s">
        <v>48</v>
      </c>
      <c r="R44" s="42" t="s">
        <v>49</v>
      </c>
    </row>
    <row r="45" spans="1:18" x14ac:dyDescent="0.25">
      <c r="A45" s="53"/>
      <c r="B45" s="531"/>
      <c r="C45" s="518" t="s">
        <v>129</v>
      </c>
      <c r="D45" s="518" t="s">
        <v>129</v>
      </c>
      <c r="E45" s="184"/>
      <c r="F45" s="67" t="str">
        <f t="shared" si="0"/>
        <v/>
      </c>
      <c r="G45" s="2030"/>
      <c r="H45" s="2031"/>
      <c r="I45" s="53"/>
      <c r="J45" s="53"/>
      <c r="K45" s="53"/>
      <c r="N45" s="42" t="s">
        <v>129</v>
      </c>
      <c r="O45" s="42" t="s">
        <v>9</v>
      </c>
      <c r="P45" s="42" t="str">
        <f t="shared" si="1"/>
        <v>SRI higher than 78</v>
      </c>
      <c r="Q45" s="42" t="s">
        <v>48</v>
      </c>
      <c r="R45" s="42" t="s">
        <v>49</v>
      </c>
    </row>
    <row r="46" spans="1:18" x14ac:dyDescent="0.25">
      <c r="A46" s="53"/>
      <c r="B46" s="531"/>
      <c r="C46" s="518" t="s">
        <v>129</v>
      </c>
      <c r="D46" s="518" t="s">
        <v>129</v>
      </c>
      <c r="E46" s="184"/>
      <c r="F46" s="67" t="str">
        <f t="shared" si="0"/>
        <v/>
      </c>
      <c r="G46" s="2030"/>
      <c r="H46" s="2031"/>
      <c r="I46" s="53"/>
      <c r="J46" s="53"/>
      <c r="K46" s="53"/>
      <c r="N46" s="42" t="s">
        <v>129</v>
      </c>
      <c r="O46" s="42" t="s">
        <v>9</v>
      </c>
      <c r="P46" s="42" t="str">
        <f t="shared" si="1"/>
        <v>SRI higher than 78</v>
      </c>
      <c r="Q46" s="42" t="s">
        <v>48</v>
      </c>
      <c r="R46" s="42" t="s">
        <v>49</v>
      </c>
    </row>
    <row r="47" spans="1:18" x14ac:dyDescent="0.25">
      <c r="A47" s="53"/>
      <c r="B47" s="531"/>
      <c r="C47" s="518" t="s">
        <v>129</v>
      </c>
      <c r="D47" s="518" t="s">
        <v>129</v>
      </c>
      <c r="E47" s="184"/>
      <c r="F47" s="241" t="str">
        <f t="shared" si="0"/>
        <v/>
      </c>
      <c r="G47" s="2028"/>
      <c r="H47" s="2029"/>
      <c r="I47" s="53"/>
      <c r="J47" s="53"/>
      <c r="K47" s="53"/>
      <c r="N47" s="42" t="s">
        <v>129</v>
      </c>
      <c r="O47" s="42" t="s">
        <v>9</v>
      </c>
      <c r="P47" s="42" t="str">
        <f t="shared" si="1"/>
        <v>SRI higher than 78</v>
      </c>
      <c r="Q47" s="42" t="s">
        <v>48</v>
      </c>
      <c r="R47" s="42" t="s">
        <v>49</v>
      </c>
    </row>
    <row r="48" spans="1:18" ht="16.5" customHeight="1" x14ac:dyDescent="0.25">
      <c r="A48" s="53"/>
      <c r="B48" s="54"/>
      <c r="C48" s="54"/>
      <c r="D48" s="54"/>
      <c r="E48" s="61">
        <f>SUM(E41:E47)</f>
        <v>0</v>
      </c>
      <c r="F48" s="61">
        <f>SUM(F41:F47)</f>
        <v>0</v>
      </c>
      <c r="G48" s="872"/>
      <c r="H48" s="828"/>
      <c r="I48" s="53"/>
      <c r="J48" s="53"/>
      <c r="K48" s="53"/>
    </row>
    <row r="49" spans="1:19" x14ac:dyDescent="0.25">
      <c r="A49" s="53"/>
      <c r="B49" s="466"/>
      <c r="C49" s="53"/>
      <c r="D49" s="53"/>
      <c r="E49" s="53"/>
      <c r="F49" s="53"/>
      <c r="G49" s="53"/>
      <c r="H49" s="53"/>
      <c r="I49" s="53"/>
      <c r="J49" s="53"/>
      <c r="K49" s="53"/>
    </row>
    <row r="50" spans="1:19" x14ac:dyDescent="0.25">
      <c r="A50" s="53"/>
      <c r="B50" s="767" t="s">
        <v>849</v>
      </c>
      <c r="C50" s="54"/>
      <c r="D50" s="54"/>
      <c r="E50" s="54"/>
      <c r="F50" s="53"/>
      <c r="G50" s="53"/>
      <c r="H50" s="53"/>
      <c r="I50" s="53"/>
      <c r="J50" s="53"/>
      <c r="K50" s="53"/>
    </row>
    <row r="51" spans="1:19" ht="6" customHeight="1" x14ac:dyDescent="0.25">
      <c r="A51" s="53"/>
      <c r="B51" s="466"/>
      <c r="C51" s="54"/>
      <c r="D51" s="54"/>
      <c r="E51" s="54"/>
      <c r="F51" s="53"/>
      <c r="G51" s="53"/>
      <c r="H51" s="53"/>
      <c r="I51" s="53"/>
      <c r="J51" s="53"/>
      <c r="K51" s="53"/>
    </row>
    <row r="52" spans="1:19" ht="16.5" customHeight="1" x14ac:dyDescent="0.25">
      <c r="A52" s="53"/>
      <c r="B52" s="2038" t="s">
        <v>253</v>
      </c>
      <c r="C52" s="2040"/>
      <c r="D52" s="184"/>
      <c r="E52" s="54"/>
      <c r="F52" s="53"/>
      <c r="G52" s="53"/>
      <c r="H52" s="53"/>
      <c r="I52" s="53"/>
      <c r="J52" s="53"/>
      <c r="K52" s="53"/>
    </row>
    <row r="53" spans="1:19" ht="16.5" customHeight="1" x14ac:dyDescent="0.25">
      <c r="A53" s="53"/>
      <c r="B53" s="2038" t="s">
        <v>41</v>
      </c>
      <c r="C53" s="2040"/>
      <c r="D53" s="184"/>
      <c r="E53" s="54"/>
      <c r="F53" s="53"/>
      <c r="G53" s="53"/>
      <c r="H53" s="53"/>
      <c r="I53" s="53"/>
      <c r="J53" s="53"/>
      <c r="K53" s="53"/>
    </row>
    <row r="54" spans="1:19" x14ac:dyDescent="0.25">
      <c r="A54" s="53"/>
      <c r="B54" s="54"/>
      <c r="C54" s="54"/>
      <c r="D54" s="54"/>
      <c r="E54" s="54"/>
      <c r="F54" s="53"/>
      <c r="G54" s="53"/>
      <c r="H54" s="53"/>
      <c r="I54" s="53"/>
      <c r="J54" s="53"/>
      <c r="K54" s="53"/>
    </row>
    <row r="55" spans="1:19" ht="20.25" customHeight="1" x14ac:dyDescent="0.25">
      <c r="A55" s="53"/>
      <c r="B55" s="770" t="s">
        <v>42</v>
      </c>
      <c r="C55" s="771" t="s">
        <v>45</v>
      </c>
      <c r="D55" s="771" t="s">
        <v>43</v>
      </c>
      <c r="E55" s="771" t="s">
        <v>46</v>
      </c>
      <c r="F55" s="2000" t="s">
        <v>33</v>
      </c>
      <c r="G55" s="2001"/>
      <c r="H55" s="53"/>
      <c r="I55" s="53"/>
      <c r="J55" s="53"/>
      <c r="K55" s="53"/>
      <c r="M55" s="42" t="s">
        <v>50</v>
      </c>
      <c r="N55" s="42" t="s">
        <v>129</v>
      </c>
      <c r="O55" s="42" t="s">
        <v>9</v>
      </c>
      <c r="P55" s="42" t="s">
        <v>193</v>
      </c>
      <c r="Q55" s="42" t="s">
        <v>194</v>
      </c>
      <c r="R55" s="42" t="s">
        <v>195</v>
      </c>
      <c r="S55" s="42" t="s">
        <v>196</v>
      </c>
    </row>
    <row r="56" spans="1:19" x14ac:dyDescent="0.25">
      <c r="A56" s="53"/>
      <c r="B56" s="733"/>
      <c r="C56" s="733" t="s">
        <v>129</v>
      </c>
      <c r="D56" s="733"/>
      <c r="E56" s="432" t="str">
        <f t="shared" ref="E56:E62" si="2">IF(OR(C56="Select",C56=""),"",IF(C56="No",0,D56))</f>
        <v/>
      </c>
      <c r="F56" s="2028"/>
      <c r="G56" s="2029"/>
      <c r="H56" s="53"/>
      <c r="I56" s="53"/>
      <c r="J56" s="53"/>
      <c r="K56" s="53"/>
      <c r="N56" s="42" t="s">
        <v>129</v>
      </c>
      <c r="O56" s="42" t="s">
        <v>9</v>
      </c>
      <c r="P56" s="42" t="s">
        <v>193</v>
      </c>
      <c r="Q56" s="42" t="s">
        <v>197</v>
      </c>
      <c r="R56" s="42" t="s">
        <v>195</v>
      </c>
      <c r="S56" s="42" t="s">
        <v>196</v>
      </c>
    </row>
    <row r="57" spans="1:19" x14ac:dyDescent="0.25">
      <c r="A57" s="53"/>
      <c r="B57" s="888"/>
      <c r="C57" s="888" t="s">
        <v>129</v>
      </c>
      <c r="D57" s="888"/>
      <c r="E57" s="432" t="str">
        <f t="shared" si="2"/>
        <v/>
      </c>
      <c r="F57" s="2028"/>
      <c r="G57" s="2029"/>
      <c r="H57" s="53"/>
      <c r="I57" s="53"/>
      <c r="J57" s="53"/>
      <c r="K57" s="53"/>
      <c r="N57" s="42" t="s">
        <v>129</v>
      </c>
      <c r="O57" s="42" t="s">
        <v>9</v>
      </c>
      <c r="P57" s="42" t="s">
        <v>193</v>
      </c>
      <c r="Q57" s="42" t="s">
        <v>197</v>
      </c>
      <c r="R57" s="42" t="s">
        <v>195</v>
      </c>
      <c r="S57" s="42" t="s">
        <v>196</v>
      </c>
    </row>
    <row r="58" spans="1:19" x14ac:dyDescent="0.25">
      <c r="A58" s="53"/>
      <c r="B58" s="888"/>
      <c r="C58" s="888" t="s">
        <v>129</v>
      </c>
      <c r="D58" s="888"/>
      <c r="E58" s="432" t="str">
        <f t="shared" si="2"/>
        <v/>
      </c>
      <c r="F58" s="2028"/>
      <c r="G58" s="2029"/>
      <c r="H58" s="53"/>
      <c r="I58" s="53"/>
      <c r="J58" s="53"/>
      <c r="K58" s="53"/>
      <c r="N58" s="42" t="s">
        <v>129</v>
      </c>
      <c r="O58" s="42" t="s">
        <v>9</v>
      </c>
      <c r="P58" s="42" t="s">
        <v>193</v>
      </c>
      <c r="Q58" s="42" t="s">
        <v>197</v>
      </c>
      <c r="R58" s="42" t="s">
        <v>195</v>
      </c>
      <c r="S58" s="42" t="s">
        <v>196</v>
      </c>
    </row>
    <row r="59" spans="1:19" x14ac:dyDescent="0.25">
      <c r="A59" s="53"/>
      <c r="B59" s="531"/>
      <c r="C59" s="518" t="s">
        <v>129</v>
      </c>
      <c r="D59" s="184"/>
      <c r="E59" s="67" t="str">
        <f t="shared" si="2"/>
        <v/>
      </c>
      <c r="F59" s="2028"/>
      <c r="G59" s="2029"/>
      <c r="H59" s="53"/>
      <c r="I59" s="53"/>
      <c r="J59" s="53"/>
      <c r="K59" s="53"/>
      <c r="N59" s="42" t="s">
        <v>129</v>
      </c>
      <c r="O59" s="42" t="s">
        <v>9</v>
      </c>
      <c r="P59" s="42" t="s">
        <v>193</v>
      </c>
      <c r="Q59" s="42" t="s">
        <v>198</v>
      </c>
      <c r="R59" s="42" t="s">
        <v>195</v>
      </c>
      <c r="S59" s="42" t="s">
        <v>196</v>
      </c>
    </row>
    <row r="60" spans="1:19" x14ac:dyDescent="0.25">
      <c r="A60" s="53"/>
      <c r="B60" s="531"/>
      <c r="C60" s="518" t="s">
        <v>129</v>
      </c>
      <c r="D60" s="184"/>
      <c r="E60" s="67" t="str">
        <f t="shared" si="2"/>
        <v/>
      </c>
      <c r="F60" s="2030"/>
      <c r="G60" s="2031"/>
      <c r="H60" s="53"/>
      <c r="I60" s="53"/>
      <c r="J60" s="53"/>
      <c r="K60" s="53"/>
      <c r="N60" s="42" t="s">
        <v>129</v>
      </c>
      <c r="O60" s="42" t="s">
        <v>9</v>
      </c>
      <c r="P60" s="42" t="s">
        <v>193</v>
      </c>
      <c r="Q60" s="42" t="s">
        <v>199</v>
      </c>
      <c r="R60" s="42" t="s">
        <v>195</v>
      </c>
      <c r="S60" s="42" t="s">
        <v>196</v>
      </c>
    </row>
    <row r="61" spans="1:19" x14ac:dyDescent="0.25">
      <c r="A61" s="53"/>
      <c r="B61" s="531"/>
      <c r="C61" s="518" t="s">
        <v>129</v>
      </c>
      <c r="D61" s="184"/>
      <c r="E61" s="67" t="str">
        <f t="shared" si="2"/>
        <v/>
      </c>
      <c r="F61" s="2030"/>
      <c r="G61" s="2031"/>
      <c r="H61" s="53"/>
      <c r="I61" s="53"/>
      <c r="J61" s="53"/>
      <c r="K61" s="53"/>
      <c r="N61" s="42" t="s">
        <v>129</v>
      </c>
      <c r="O61" s="42" t="s">
        <v>9</v>
      </c>
      <c r="P61" s="42" t="s">
        <v>193</v>
      </c>
      <c r="Q61" s="42" t="s">
        <v>199</v>
      </c>
      <c r="R61" s="42" t="s">
        <v>195</v>
      </c>
      <c r="S61" s="42" t="s">
        <v>196</v>
      </c>
    </row>
    <row r="62" spans="1:19" x14ac:dyDescent="0.25">
      <c r="A62" s="53"/>
      <c r="B62" s="531"/>
      <c r="C62" s="518" t="s">
        <v>129</v>
      </c>
      <c r="D62" s="184"/>
      <c r="E62" s="67" t="str">
        <f t="shared" si="2"/>
        <v/>
      </c>
      <c r="F62" s="2028"/>
      <c r="G62" s="2029"/>
      <c r="H62" s="53"/>
      <c r="I62" s="53"/>
      <c r="J62" s="53"/>
      <c r="K62" s="53"/>
    </row>
    <row r="63" spans="1:19" ht="16.5" customHeight="1" x14ac:dyDescent="0.25">
      <c r="A63" s="53"/>
      <c r="B63" s="54"/>
      <c r="C63" s="54"/>
      <c r="D63" s="61">
        <f>SUM(D56:D62)</f>
        <v>0</v>
      </c>
      <c r="E63" s="61">
        <f>SUM(E56:E62)</f>
        <v>0</v>
      </c>
      <c r="F63" s="53"/>
      <c r="G63" s="53"/>
      <c r="H63" s="53"/>
      <c r="I63" s="53"/>
      <c r="J63" s="53"/>
      <c r="K63" s="53"/>
    </row>
    <row r="64" spans="1:19" x14ac:dyDescent="0.25">
      <c r="A64" s="53"/>
      <c r="B64" s="54"/>
      <c r="C64" s="54"/>
      <c r="D64" s="467" t="str">
        <f>IF(D63=0,"",IF(D63&lt;&gt;D52-D53,"It is necessary to have the areas match together",""))</f>
        <v/>
      </c>
      <c r="E64" s="53"/>
      <c r="F64" s="53"/>
      <c r="G64" s="53"/>
      <c r="H64" s="53"/>
      <c r="I64" s="53"/>
      <c r="J64" s="53"/>
      <c r="K64" s="53"/>
    </row>
    <row r="65" spans="1:11" x14ac:dyDescent="0.25">
      <c r="A65" s="53"/>
      <c r="B65" s="767" t="s">
        <v>1057</v>
      </c>
      <c r="C65" s="54"/>
      <c r="D65" s="72"/>
      <c r="E65" s="72"/>
      <c r="F65" s="53"/>
      <c r="G65" s="53"/>
      <c r="H65" s="53"/>
      <c r="I65" s="53"/>
      <c r="J65" s="53"/>
      <c r="K65" s="53"/>
    </row>
    <row r="66" spans="1:11" ht="6" customHeight="1" x14ac:dyDescent="0.25">
      <c r="A66" s="53"/>
      <c r="B66" s="466"/>
      <c r="C66" s="54"/>
      <c r="D66" s="72"/>
      <c r="E66" s="72"/>
      <c r="F66" s="53"/>
      <c r="G66" s="53"/>
      <c r="H66" s="53"/>
      <c r="I66" s="53"/>
      <c r="J66" s="53"/>
      <c r="K66" s="53"/>
    </row>
    <row r="67" spans="1:11" ht="18" customHeight="1" x14ac:dyDescent="0.25">
      <c r="A67" s="53"/>
      <c r="B67" s="2005" t="s">
        <v>1371</v>
      </c>
      <c r="C67" s="2007"/>
      <c r="D67" s="769">
        <f>D52+D37-D38-D53</f>
        <v>0</v>
      </c>
      <c r="E67" s="72"/>
      <c r="F67" s="53"/>
      <c r="G67" s="53"/>
      <c r="H67" s="53"/>
      <c r="I67" s="53"/>
      <c r="J67" s="53"/>
      <c r="K67" s="53"/>
    </row>
    <row r="68" spans="1:11" ht="18" customHeight="1" x14ac:dyDescent="0.25">
      <c r="A68" s="53"/>
      <c r="B68" s="2005" t="s">
        <v>1370</v>
      </c>
      <c r="C68" s="2007"/>
      <c r="D68" s="769">
        <f>E63+F48</f>
        <v>0</v>
      </c>
      <c r="E68" s="72"/>
      <c r="F68" s="53"/>
      <c r="G68" s="53"/>
      <c r="H68" s="53"/>
      <c r="I68" s="53"/>
      <c r="J68" s="53"/>
      <c r="K68" s="53"/>
    </row>
    <row r="69" spans="1:11" ht="18" customHeight="1" x14ac:dyDescent="0.25">
      <c r="A69" s="53"/>
      <c r="B69" s="54"/>
      <c r="C69" s="54"/>
      <c r="D69" s="54"/>
      <c r="E69" s="54"/>
      <c r="F69" s="53"/>
      <c r="G69" s="53"/>
      <c r="H69" s="53"/>
      <c r="I69" s="53"/>
      <c r="J69" s="53"/>
      <c r="K69" s="53"/>
    </row>
    <row r="70" spans="1:11" ht="18" customHeight="1" x14ac:dyDescent="0.25">
      <c r="A70" s="53"/>
      <c r="B70" s="1987" t="s">
        <v>38</v>
      </c>
      <c r="C70" s="1987"/>
      <c r="D70" s="1987"/>
      <c r="E70" s="768" t="str">
        <f>IF(OR(D63&lt;&gt;D52-D53,E48&lt;&gt;D37-D38),"",IFERROR(D68/D67,""))</f>
        <v/>
      </c>
      <c r="F70" s="468" t="str">
        <f>IF(OR(D63&lt;&gt;D52-D53,E48&lt;&gt;D37-D38),"Please fully complete the tables","")</f>
        <v/>
      </c>
      <c r="G70" s="53"/>
      <c r="H70" s="53"/>
      <c r="I70" s="53"/>
      <c r="J70" s="53"/>
      <c r="K70" s="53"/>
    </row>
    <row r="71" spans="1:11" ht="18" customHeight="1" x14ac:dyDescent="0.25">
      <c r="A71" s="53"/>
      <c r="B71" s="54"/>
      <c r="C71" s="54"/>
      <c r="D71" s="54"/>
      <c r="E71" s="54"/>
      <c r="F71" s="53"/>
      <c r="G71" s="53"/>
      <c r="H71" s="53"/>
      <c r="I71" s="53"/>
      <c r="J71" s="53"/>
      <c r="K71" s="53"/>
    </row>
    <row r="72" spans="1:11" ht="18" customHeight="1" x14ac:dyDescent="0.25">
      <c r="A72" s="1974" t="s">
        <v>200</v>
      </c>
      <c r="B72" s="1974"/>
      <c r="C72" s="1974"/>
      <c r="D72" s="1974"/>
      <c r="E72" s="1974"/>
      <c r="F72" s="1974"/>
      <c r="G72" s="1974"/>
      <c r="H72" s="1974"/>
      <c r="I72" s="1974"/>
      <c r="J72" s="1974"/>
      <c r="K72" s="1974"/>
    </row>
    <row r="73" spans="1:11" x14ac:dyDescent="0.25">
      <c r="A73" s="53"/>
      <c r="B73" s="53"/>
      <c r="C73" s="53"/>
      <c r="D73" s="53"/>
      <c r="E73" s="53"/>
      <c r="F73" s="53"/>
      <c r="G73" s="53"/>
      <c r="H73" s="53"/>
      <c r="I73" s="53"/>
      <c r="J73" s="53"/>
      <c r="K73" s="53"/>
    </row>
    <row r="74" spans="1:11" ht="18" customHeight="1" x14ac:dyDescent="0.25">
      <c r="A74" s="53"/>
      <c r="B74" s="1998" t="s">
        <v>2103</v>
      </c>
      <c r="C74" s="1999"/>
      <c r="D74" s="1999"/>
      <c r="E74" s="1999"/>
      <c r="F74" s="1999"/>
      <c r="G74" s="1080" t="s">
        <v>2101</v>
      </c>
      <c r="H74" s="2000" t="s">
        <v>2102</v>
      </c>
      <c r="I74" s="2001"/>
      <c r="J74" s="53"/>
      <c r="K74" s="53"/>
    </row>
    <row r="75" spans="1:11" ht="24" customHeight="1" x14ac:dyDescent="0.25">
      <c r="A75" s="53"/>
      <c r="B75" s="1436" t="s">
        <v>1355</v>
      </c>
      <c r="C75" s="1437"/>
      <c r="D75" s="1437"/>
      <c r="E75" s="1437"/>
      <c r="F75" s="1438"/>
      <c r="G75" s="518" t="s">
        <v>129</v>
      </c>
      <c r="H75" s="1730"/>
      <c r="I75" s="1729"/>
      <c r="J75" s="53"/>
      <c r="K75" s="53"/>
    </row>
    <row r="76" spans="1:11" ht="24" customHeight="1" x14ac:dyDescent="0.25">
      <c r="A76" s="53"/>
      <c r="B76" s="1436" t="s">
        <v>1356</v>
      </c>
      <c r="C76" s="1437"/>
      <c r="D76" s="1437"/>
      <c r="E76" s="1437"/>
      <c r="F76" s="1438"/>
      <c r="G76" s="518" t="s">
        <v>129</v>
      </c>
      <c r="H76" s="1730"/>
      <c r="I76" s="1729"/>
      <c r="J76" s="53"/>
      <c r="K76" s="53"/>
    </row>
    <row r="77" spans="1:11" ht="18" customHeight="1" x14ac:dyDescent="0.25">
      <c r="A77" s="53"/>
      <c r="B77" s="53"/>
      <c r="C77" s="53"/>
      <c r="D77" s="53"/>
      <c r="E77" s="53"/>
      <c r="F77" s="53"/>
      <c r="G77" s="53"/>
      <c r="H77" s="53"/>
      <c r="I77" s="53"/>
      <c r="J77" s="53"/>
      <c r="K77" s="53"/>
    </row>
    <row r="78" spans="1:11" ht="18" customHeight="1" x14ac:dyDescent="0.25">
      <c r="A78" s="1974" t="s">
        <v>25</v>
      </c>
      <c r="B78" s="1974"/>
      <c r="C78" s="1974"/>
      <c r="D78" s="1974"/>
      <c r="E78" s="1974"/>
      <c r="F78" s="1974"/>
      <c r="G78" s="1974"/>
      <c r="H78" s="1974"/>
      <c r="I78" s="1974"/>
      <c r="J78" s="1974"/>
      <c r="K78" s="1974"/>
    </row>
    <row r="79" spans="1:11" ht="16.5" customHeight="1" x14ac:dyDescent="0.25">
      <c r="A79" s="53"/>
      <c r="B79" s="54"/>
      <c r="C79" s="54"/>
      <c r="D79" s="54"/>
      <c r="E79" s="54"/>
      <c r="F79" s="53"/>
      <c r="G79" s="53"/>
      <c r="H79" s="53"/>
      <c r="I79" s="53"/>
      <c r="J79" s="53"/>
      <c r="K79" s="53"/>
    </row>
    <row r="80" spans="1:11" ht="18" customHeight="1" x14ac:dyDescent="0.25">
      <c r="A80" s="53"/>
      <c r="B80" s="264" t="s">
        <v>56</v>
      </c>
      <c r="C80" s="1193">
        <f>IF(E70="",0,IF(E70&gt;=0.5,2,IF(E70&gt;=0.3,1,0)))</f>
        <v>0</v>
      </c>
      <c r="D80" s="54"/>
      <c r="E80" s="54"/>
      <c r="F80" s="53"/>
      <c r="G80" s="53"/>
      <c r="H80" s="53"/>
      <c r="I80" s="53"/>
      <c r="J80" s="53"/>
      <c r="K80" s="53"/>
    </row>
    <row r="81" spans="1:11" ht="18" customHeight="1" x14ac:dyDescent="0.25">
      <c r="A81" s="53"/>
      <c r="B81" s="265" t="s">
        <v>521</v>
      </c>
      <c r="C81" s="203" t="str">
        <f>IF(AND(COUNTIF(G75:G76,"Submitted")=2,C80&gt;0),"Yes","No")</f>
        <v>No</v>
      </c>
      <c r="D81" s="53"/>
      <c r="E81" s="53"/>
      <c r="F81" s="53"/>
      <c r="G81" s="53"/>
      <c r="H81" s="53"/>
      <c r="I81" s="53"/>
      <c r="J81" s="53"/>
      <c r="K81" s="53"/>
    </row>
    <row r="82" spans="1:11" ht="20.25" customHeight="1" x14ac:dyDescent="0.25">
      <c r="A82" s="53"/>
      <c r="B82" s="53"/>
      <c r="C82" s="53"/>
      <c r="D82" s="53"/>
      <c r="E82" s="53"/>
      <c r="F82" s="53"/>
      <c r="G82" s="53"/>
      <c r="H82" s="53"/>
      <c r="I82" s="53"/>
      <c r="J82" s="53"/>
      <c r="K82" s="53"/>
    </row>
    <row r="83" spans="1:11" hidden="1" x14ac:dyDescent="0.25"/>
    <row r="84" spans="1:11" hidden="1" x14ac:dyDescent="0.25"/>
    <row r="85" spans="1:11" hidden="1" x14ac:dyDescent="0.25"/>
    <row r="86" spans="1:11" hidden="1" x14ac:dyDescent="0.25"/>
    <row r="87" spans="1:11" hidden="1" x14ac:dyDescent="0.25"/>
  </sheetData>
  <sheetProtection algorithmName="SHA-512" hashValue="0mc1U2c3Feq847JBtO1axSBMujMDrCZn3jfkKSvOc2VSrMoZemAw53IhLUT1OQHJA6l3hXrL3RM5q0jW4QgImw==" saltValue="wyl1LEaMJaFnDc+DCJHdWg==" spinCount="100000" sheet="1" objects="1" scenarios="1"/>
  <mergeCells count="48">
    <mergeCell ref="A78:K78"/>
    <mergeCell ref="A14:K14"/>
    <mergeCell ref="A9:K9"/>
    <mergeCell ref="B67:C67"/>
    <mergeCell ref="B68:C68"/>
    <mergeCell ref="B37:C37"/>
    <mergeCell ref="B52:C52"/>
    <mergeCell ref="B53:C53"/>
    <mergeCell ref="A29:K29"/>
    <mergeCell ref="A72:K72"/>
    <mergeCell ref="B76:F76"/>
    <mergeCell ref="B11:E11"/>
    <mergeCell ref="F62:G62"/>
    <mergeCell ref="F55:G55"/>
    <mergeCell ref="G43:H43"/>
    <mergeCell ref="B75:F75"/>
    <mergeCell ref="A1:K1"/>
    <mergeCell ref="A5:K7"/>
    <mergeCell ref="G2:H4"/>
    <mergeCell ref="F58:G58"/>
    <mergeCell ref="G42:H42"/>
    <mergeCell ref="B25:H25"/>
    <mergeCell ref="B26:H26"/>
    <mergeCell ref="B27:H27"/>
    <mergeCell ref="B21:H21"/>
    <mergeCell ref="B19:H19"/>
    <mergeCell ref="B20:H20"/>
    <mergeCell ref="B23:H23"/>
    <mergeCell ref="B18:H18"/>
    <mergeCell ref="B12:E12"/>
    <mergeCell ref="B38:C38"/>
    <mergeCell ref="G40:H40"/>
    <mergeCell ref="B24:H24"/>
    <mergeCell ref="B74:F74"/>
    <mergeCell ref="H74:I74"/>
    <mergeCell ref="H75:I75"/>
    <mergeCell ref="H76:I76"/>
    <mergeCell ref="B70:D70"/>
    <mergeCell ref="F56:G56"/>
    <mergeCell ref="F59:G59"/>
    <mergeCell ref="F61:G61"/>
    <mergeCell ref="F60:G60"/>
    <mergeCell ref="F57:G57"/>
    <mergeCell ref="G41:H41"/>
    <mergeCell ref="G44:H44"/>
    <mergeCell ref="G45:H45"/>
    <mergeCell ref="G46:H46"/>
    <mergeCell ref="G47:H47"/>
  </mergeCells>
  <conditionalFormatting sqref="G75">
    <cfRule type="expression" dxfId="51" priority="4">
      <formula>#REF!&lt;&gt;"Prescriptive Path"</formula>
    </cfRule>
  </conditionalFormatting>
  <conditionalFormatting sqref="G76">
    <cfRule type="expression" dxfId="50" priority="3">
      <formula>#REF!&lt;&gt;"Prescriptive Path"</formula>
    </cfRule>
  </conditionalFormatting>
  <conditionalFormatting sqref="H74:I74">
    <cfRule type="expression" dxfId="49" priority="2">
      <formula>#REF!&lt;&gt;"Prescriptive Path"</formula>
    </cfRule>
  </conditionalFormatting>
  <conditionalFormatting sqref="H75:H76">
    <cfRule type="expression" dxfId="48" priority="1">
      <formula>#REF!&lt;&gt;"Prescriptive Path"</formula>
    </cfRule>
  </conditionalFormatting>
  <dataValidations count="7">
    <dataValidation type="list" allowBlank="1" showInputMessage="1" showErrorMessage="1" prompt="low sloped roof: less than 2:12 rise over run (i.e. less than 9,46° / 16.6%)" sqref="C41:C47">
      <formula1>slope</formula1>
    </dataValidation>
    <dataValidation type="list" allowBlank="1" showInputMessage="1" showErrorMessage="1" sqref="G75:G76">
      <formula1>"Submitted,Not submitted"</formula1>
    </dataValidation>
    <dataValidation allowBlank="1" showInputMessage="1" showErrorMessage="1" prompt="low sloped roof: less than 2:12 rise over run (i.e. less than 9,46° / 16.6%)" sqref="C40"/>
    <dataValidation type="list" allowBlank="1" showInputMessage="1" showErrorMessage="1" sqref="D41:D47">
      <formula1>$N41:$R41</formula1>
    </dataValidation>
    <dataValidation type="list" allowBlank="1" showInputMessage="1" showErrorMessage="1" sqref="C56:C62">
      <formula1>$N$55:$S$55</formula1>
    </dataValidation>
    <dataValidation allowBlank="1" showInputMessage="1" showErrorMessage="1" prompt="Enter the name of the surface type" sqref="B56:B62 B41:B47"/>
    <dataValidation allowBlank="1" showInputMessage="1" showErrorMessage="1" prompt="Provide details on the surface installed, on the value of SRI of the surface, etc." sqref="F56:F62 G41:G47"/>
  </dataValidations>
  <hyperlinks>
    <hyperlink ref="J2" location="'LE-5 Storm Water Runoff'!E3" tooltip="LE-5" display="LE-5"/>
    <hyperlink ref="I3" location="'LE-2 Site design'!B3" tooltip="LE-2" display="LE-2"/>
    <hyperlink ref="I4" location="'LE-3 Vegetation'!D3" tooltip="LE-3" display="LE-3"/>
    <hyperlink ref="K2" location="'LE-8 Waste Management'!E3" tooltip="LE-8" display="LE-8"/>
    <hyperlink ref="K3" location="'LE BPC'!E3" tooltip="BPC" display="BPC"/>
    <hyperlink ref="J4" location="'LE-7 Refrigerants'!E3" tooltip="LE-7" display="LE-7"/>
    <hyperlink ref="J3" location="'LE-6 Flood Risk Mitigation'!E3" tooltip="LE-6" display="LE-6"/>
    <hyperlink ref="I2" location="'LE-1 Site Selection'!B3" tooltip="LE-1" display="LE-1"/>
  </hyperlinks>
  <pageMargins left="0.7" right="0.7" top="0.75" bottom="0.75" header="0.3" footer="0.3"/>
  <pageSetup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76923C"/>
  </sheetPr>
  <dimension ref="A1:N63"/>
  <sheetViews>
    <sheetView showRowColHeaders="0" workbookViewId="0">
      <pane ySplit="8" topLeftCell="A9" activePane="bottomLeft" state="frozen"/>
      <selection activeCell="M21" sqref="M21"/>
      <selection pane="bottomLeft" activeCell="B12" sqref="B12:E12"/>
    </sheetView>
  </sheetViews>
  <sheetFormatPr defaultColWidth="0" defaultRowHeight="15" zeroHeight="1" x14ac:dyDescent="0.25"/>
  <cols>
    <col min="1" max="1" width="3.42578125" style="42" customWidth="1"/>
    <col min="2" max="2" width="19.7109375" style="42" customWidth="1"/>
    <col min="3" max="3" width="13.28515625" style="42" customWidth="1"/>
    <col min="4" max="5" width="20.7109375" style="42" customWidth="1"/>
    <col min="6" max="8" width="18.7109375" style="42" customWidth="1"/>
    <col min="9" max="11" width="8.7109375" style="42" customWidth="1"/>
    <col min="12" max="12" width="8" style="42" hidden="1" customWidth="1"/>
    <col min="13" max="13" width="17.5703125" style="42" hidden="1" customWidth="1"/>
    <col min="14" max="14" width="12.140625" style="42" hidden="1" customWidth="1"/>
    <col min="15" max="16384" width="9.140625" style="42" hidden="1"/>
  </cols>
  <sheetData>
    <row r="1" spans="1:14" ht="23.25" x14ac:dyDescent="0.25">
      <c r="A1" s="1975" t="s">
        <v>251</v>
      </c>
      <c r="B1" s="1975"/>
      <c r="C1" s="1975"/>
      <c r="D1" s="1975"/>
      <c r="E1" s="1975"/>
      <c r="F1" s="1975"/>
      <c r="G1" s="1975"/>
      <c r="H1" s="1975"/>
      <c r="I1" s="1975"/>
      <c r="J1" s="1975"/>
      <c r="K1" s="1975"/>
    </row>
    <row r="2" spans="1:14" ht="15" customHeight="1" x14ac:dyDescent="0.25">
      <c r="A2" s="53"/>
      <c r="B2" s="54"/>
      <c r="C2" s="54"/>
      <c r="D2" s="54"/>
      <c r="E2" s="54"/>
      <c r="F2" s="53"/>
      <c r="G2" s="1426" t="s">
        <v>2108</v>
      </c>
      <c r="H2" s="1426"/>
      <c r="I2" s="258" t="s">
        <v>60</v>
      </c>
      <c r="J2" s="258" t="s">
        <v>72</v>
      </c>
      <c r="K2" s="258" t="s">
        <v>160</v>
      </c>
    </row>
    <row r="3" spans="1:14" ht="15" customHeight="1" x14ac:dyDescent="0.25">
      <c r="A3" s="53"/>
      <c r="B3" s="54"/>
      <c r="C3" s="54"/>
      <c r="D3" s="54"/>
      <c r="E3" s="54"/>
      <c r="F3" s="53"/>
      <c r="G3" s="1426"/>
      <c r="H3" s="1426"/>
      <c r="I3" s="258" t="s">
        <v>64</v>
      </c>
      <c r="J3" s="258" t="s">
        <v>80</v>
      </c>
      <c r="K3" s="258" t="s">
        <v>79</v>
      </c>
    </row>
    <row r="4" spans="1:14" ht="15" customHeight="1" x14ac:dyDescent="0.25">
      <c r="A4" s="53"/>
      <c r="B4" s="54"/>
      <c r="C4" s="54"/>
      <c r="D4" s="54"/>
      <c r="E4" s="54"/>
      <c r="F4" s="53"/>
      <c r="G4" s="1652"/>
      <c r="H4" s="1652"/>
      <c r="I4" s="258" t="s">
        <v>68</v>
      </c>
      <c r="J4" s="258" t="s">
        <v>131</v>
      </c>
      <c r="K4" s="240"/>
    </row>
    <row r="5" spans="1:14" ht="18" customHeight="1" x14ac:dyDescent="0.25">
      <c r="A5" s="1417" t="s">
        <v>2428</v>
      </c>
      <c r="B5" s="1418"/>
      <c r="C5" s="1418"/>
      <c r="D5" s="1418"/>
      <c r="E5" s="1418"/>
      <c r="F5" s="1418"/>
      <c r="G5" s="1418"/>
      <c r="H5" s="1418"/>
      <c r="I5" s="1418"/>
      <c r="J5" s="1418"/>
      <c r="K5" s="1418"/>
      <c r="L5" s="193"/>
      <c r="M5" s="193"/>
      <c r="N5" s="194"/>
    </row>
    <row r="6" spans="1:14" ht="18" customHeight="1" x14ac:dyDescent="0.25">
      <c r="A6" s="1420"/>
      <c r="B6" s="1421"/>
      <c r="C6" s="1421"/>
      <c r="D6" s="1421"/>
      <c r="E6" s="1421"/>
      <c r="F6" s="1421"/>
      <c r="G6" s="1421"/>
      <c r="H6" s="1421"/>
      <c r="I6" s="1421"/>
      <c r="J6" s="1421"/>
      <c r="K6" s="1421"/>
      <c r="L6" s="195"/>
      <c r="M6" s="195"/>
      <c r="N6" s="196"/>
    </row>
    <row r="7" spans="1:14" ht="18" customHeight="1" x14ac:dyDescent="0.25">
      <c r="A7" s="1423"/>
      <c r="B7" s="1424"/>
      <c r="C7" s="1424"/>
      <c r="D7" s="1424"/>
      <c r="E7" s="1424"/>
      <c r="F7" s="1424"/>
      <c r="G7" s="1424"/>
      <c r="H7" s="1424"/>
      <c r="I7" s="1424"/>
      <c r="J7" s="1424"/>
      <c r="K7" s="1424"/>
      <c r="L7" s="197"/>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1974" t="s">
        <v>191</v>
      </c>
      <c r="B9" s="1974"/>
      <c r="C9" s="1974"/>
      <c r="D9" s="1974"/>
      <c r="E9" s="1974"/>
      <c r="F9" s="1974"/>
      <c r="G9" s="1974"/>
      <c r="H9" s="1974"/>
      <c r="I9" s="1974"/>
      <c r="J9" s="1974"/>
      <c r="K9" s="1974"/>
    </row>
    <row r="10" spans="1:14" ht="16.5" customHeight="1" x14ac:dyDescent="0.25">
      <c r="A10" s="53"/>
      <c r="B10" s="54"/>
      <c r="C10" s="54"/>
      <c r="D10" s="54"/>
      <c r="E10" s="54"/>
      <c r="F10" s="53"/>
      <c r="G10" s="53"/>
      <c r="H10" s="53"/>
      <c r="I10" s="53"/>
      <c r="J10" s="53"/>
      <c r="K10" s="53"/>
    </row>
    <row r="11" spans="1:14" ht="19.5" customHeight="1" x14ac:dyDescent="0.25">
      <c r="A11" s="53"/>
      <c r="B11" s="1984" t="s">
        <v>192</v>
      </c>
      <c r="C11" s="1985"/>
      <c r="D11" s="1985"/>
      <c r="E11" s="1985"/>
      <c r="F11" s="715" t="s">
        <v>157</v>
      </c>
      <c r="G11" s="715" t="s">
        <v>56</v>
      </c>
      <c r="H11" s="60" t="s">
        <v>521</v>
      </c>
      <c r="I11" s="53"/>
      <c r="J11" s="53"/>
      <c r="K11" s="53"/>
    </row>
    <row r="12" spans="1:14" ht="28.5" customHeight="1" x14ac:dyDescent="0.25">
      <c r="A12" s="53"/>
      <c r="B12" s="1430" t="s">
        <v>8</v>
      </c>
      <c r="C12" s="1431"/>
      <c r="D12" s="1431"/>
      <c r="E12" s="1973"/>
      <c r="F12" s="59">
        <v>2</v>
      </c>
      <c r="G12" s="59">
        <f>C61</f>
        <v>0</v>
      </c>
      <c r="H12" s="59" t="str">
        <f>C62</f>
        <v>No</v>
      </c>
      <c r="I12" s="88"/>
      <c r="J12" s="53"/>
      <c r="K12" s="53"/>
    </row>
    <row r="13" spans="1:14" ht="16.5" customHeight="1" x14ac:dyDescent="0.25">
      <c r="A13" s="53"/>
      <c r="B13" s="54"/>
      <c r="C13" s="54"/>
      <c r="D13" s="54"/>
      <c r="E13" s="54"/>
      <c r="F13" s="53"/>
      <c r="G13" s="53"/>
      <c r="H13" s="53"/>
      <c r="I13" s="53"/>
      <c r="J13" s="53"/>
      <c r="K13" s="53"/>
    </row>
    <row r="14" spans="1:14" ht="18" customHeight="1" x14ac:dyDescent="0.25">
      <c r="A14" s="1974" t="s">
        <v>265</v>
      </c>
      <c r="B14" s="1974"/>
      <c r="C14" s="1974"/>
      <c r="D14" s="1974"/>
      <c r="E14" s="1974"/>
      <c r="F14" s="1974"/>
      <c r="G14" s="1974"/>
      <c r="H14" s="1974"/>
      <c r="I14" s="1974"/>
      <c r="J14" s="1974"/>
      <c r="K14" s="1974"/>
    </row>
    <row r="15" spans="1:14" x14ac:dyDescent="0.25">
      <c r="A15" s="53"/>
      <c r="B15" s="54"/>
      <c r="C15" s="54"/>
      <c r="D15" s="54"/>
      <c r="E15" s="54"/>
      <c r="F15" s="53"/>
      <c r="G15" s="53"/>
      <c r="H15" s="53"/>
      <c r="I15" s="53"/>
      <c r="J15" s="53"/>
      <c r="K15" s="53"/>
    </row>
    <row r="16" spans="1:14" ht="15" customHeight="1" x14ac:dyDescent="0.25">
      <c r="A16" s="53"/>
      <c r="B16" s="649" t="s">
        <v>1049</v>
      </c>
      <c r="C16" s="54"/>
      <c r="D16" s="54"/>
      <c r="E16" s="54"/>
      <c r="F16" s="53"/>
      <c r="G16" s="53"/>
      <c r="H16" s="53"/>
      <c r="I16" s="53"/>
      <c r="J16" s="53"/>
      <c r="K16" s="53"/>
    </row>
    <row r="17" spans="1:11" ht="17.25" customHeight="1" x14ac:dyDescent="0.25">
      <c r="A17" s="53"/>
      <c r="B17" s="548"/>
      <c r="C17" s="54"/>
      <c r="D17" s="54"/>
      <c r="E17" s="54"/>
      <c r="F17" s="53"/>
      <c r="G17" s="53"/>
      <c r="H17" s="53"/>
      <c r="I17" s="53"/>
      <c r="J17" s="53"/>
      <c r="K17" s="53"/>
    </row>
    <row r="18" spans="1:11" ht="15" customHeight="1" x14ac:dyDescent="0.25">
      <c r="A18" s="53"/>
      <c r="B18" s="709" t="s">
        <v>309</v>
      </c>
      <c r="C18" s="743"/>
      <c r="D18" s="743"/>
      <c r="E18" s="743"/>
      <c r="F18" s="743"/>
      <c r="G18" s="743"/>
      <c r="H18" s="743"/>
      <c r="I18" s="744"/>
      <c r="J18" s="53"/>
      <c r="K18" s="53"/>
    </row>
    <row r="19" spans="1:11" ht="15" customHeight="1" x14ac:dyDescent="0.25">
      <c r="A19" s="53"/>
      <c r="B19" s="710" t="s">
        <v>310</v>
      </c>
      <c r="C19" s="742"/>
      <c r="D19" s="742"/>
      <c r="E19" s="742"/>
      <c r="F19" s="742"/>
      <c r="G19" s="742"/>
      <c r="H19" s="742"/>
      <c r="I19" s="745"/>
      <c r="J19" s="53"/>
      <c r="K19" s="53"/>
    </row>
    <row r="20" spans="1:11" ht="15" customHeight="1" x14ac:dyDescent="0.25">
      <c r="A20" s="53"/>
      <c r="B20" s="710" t="s">
        <v>1350</v>
      </c>
      <c r="C20" s="742"/>
      <c r="D20" s="742"/>
      <c r="E20" s="742"/>
      <c r="F20" s="742"/>
      <c r="G20" s="742"/>
      <c r="H20" s="742"/>
      <c r="I20" s="745"/>
      <c r="J20" s="53"/>
      <c r="K20" s="53"/>
    </row>
    <row r="21" spans="1:11" ht="15" customHeight="1" x14ac:dyDescent="0.25">
      <c r="A21" s="53"/>
      <c r="B21" s="710" t="s">
        <v>311</v>
      </c>
      <c r="C21" s="742"/>
      <c r="D21" s="742"/>
      <c r="E21" s="742"/>
      <c r="F21" s="742"/>
      <c r="G21" s="742"/>
      <c r="H21" s="742"/>
      <c r="I21" s="745"/>
      <c r="J21" s="53"/>
      <c r="K21" s="53"/>
    </row>
    <row r="22" spans="1:11" ht="15" customHeight="1" x14ac:dyDescent="0.25">
      <c r="A22" s="53"/>
      <c r="B22" s="710" t="s">
        <v>312</v>
      </c>
      <c r="C22" s="742"/>
      <c r="D22" s="742"/>
      <c r="E22" s="742"/>
      <c r="F22" s="742"/>
      <c r="G22" s="742"/>
      <c r="H22" s="742"/>
      <c r="I22" s="745"/>
      <c r="J22" s="53"/>
      <c r="K22" s="53"/>
    </row>
    <row r="23" spans="1:11" ht="15" customHeight="1" x14ac:dyDescent="0.25">
      <c r="A23" s="53"/>
      <c r="B23" s="710" t="s">
        <v>313</v>
      </c>
      <c r="C23" s="742"/>
      <c r="D23" s="742"/>
      <c r="E23" s="742"/>
      <c r="F23" s="742"/>
      <c r="G23" s="742"/>
      <c r="H23" s="742"/>
      <c r="I23" s="745"/>
      <c r="J23" s="53"/>
      <c r="K23" s="53"/>
    </row>
    <row r="24" spans="1:11" ht="15" customHeight="1" x14ac:dyDescent="0.25">
      <c r="A24" s="53"/>
      <c r="B24" s="711" t="s">
        <v>314</v>
      </c>
      <c r="C24" s="746"/>
      <c r="D24" s="746"/>
      <c r="E24" s="746"/>
      <c r="F24" s="746"/>
      <c r="G24" s="746"/>
      <c r="H24" s="746"/>
      <c r="I24" s="747"/>
      <c r="J24" s="53"/>
      <c r="K24" s="53"/>
    </row>
    <row r="25" spans="1:11" x14ac:dyDescent="0.25">
      <c r="A25" s="53"/>
      <c r="B25" s="54"/>
      <c r="C25" s="54"/>
      <c r="D25" s="54"/>
      <c r="E25" s="54"/>
      <c r="F25" s="53"/>
      <c r="G25" s="53"/>
      <c r="H25" s="53"/>
      <c r="I25" s="53"/>
      <c r="J25" s="53"/>
      <c r="K25" s="53"/>
    </row>
    <row r="26" spans="1:11" ht="18" customHeight="1" x14ac:dyDescent="0.25">
      <c r="A26" s="1974" t="s">
        <v>26</v>
      </c>
      <c r="B26" s="1974"/>
      <c r="C26" s="1974"/>
      <c r="D26" s="1974"/>
      <c r="E26" s="1974"/>
      <c r="F26" s="1974"/>
      <c r="G26" s="1974"/>
      <c r="H26" s="1974"/>
      <c r="I26" s="1974"/>
      <c r="J26" s="1974"/>
      <c r="K26" s="1974"/>
    </row>
    <row r="27" spans="1:11" x14ac:dyDescent="0.25">
      <c r="A27" s="53"/>
      <c r="B27" s="54"/>
      <c r="C27" s="54"/>
      <c r="D27" s="54"/>
      <c r="E27" s="54"/>
      <c r="F27" s="53"/>
      <c r="G27" s="53"/>
      <c r="H27" s="53"/>
      <c r="I27" s="53"/>
      <c r="J27" s="53"/>
      <c r="K27" s="53"/>
    </row>
    <row r="28" spans="1:11" x14ac:dyDescent="0.25">
      <c r="A28" s="53"/>
      <c r="B28" s="647" t="s">
        <v>1674</v>
      </c>
      <c r="C28" s="54"/>
      <c r="D28" s="54"/>
      <c r="E28" s="54"/>
      <c r="F28" s="53"/>
      <c r="G28" s="53"/>
      <c r="H28" s="53"/>
      <c r="I28" s="53"/>
      <c r="J28" s="53"/>
      <c r="K28" s="53"/>
    </row>
    <row r="29" spans="1:11" x14ac:dyDescent="0.25">
      <c r="A29" s="53"/>
      <c r="B29" s="72"/>
      <c r="C29" s="54"/>
      <c r="D29" s="54"/>
      <c r="E29" s="54"/>
      <c r="F29" s="53"/>
      <c r="G29" s="53"/>
      <c r="H29" s="53"/>
      <c r="I29" s="53"/>
      <c r="J29" s="53"/>
      <c r="K29" s="53"/>
    </row>
    <row r="30" spans="1:11" x14ac:dyDescent="0.25">
      <c r="A30" s="53"/>
      <c r="B30" s="741" t="s">
        <v>1349</v>
      </c>
      <c r="C30" s="54"/>
      <c r="D30" s="54"/>
      <c r="E30" s="54"/>
      <c r="F30" s="53"/>
      <c r="G30" s="53"/>
      <c r="H30" s="53"/>
      <c r="I30" s="53"/>
      <c r="J30" s="53"/>
      <c r="K30" s="53"/>
    </row>
    <row r="31" spans="1:11" x14ac:dyDescent="0.25">
      <c r="A31" s="53"/>
      <c r="B31" s="54"/>
      <c r="C31" s="54"/>
      <c r="D31" s="54"/>
      <c r="E31" s="54"/>
      <c r="F31" s="53"/>
      <c r="G31" s="53"/>
      <c r="H31" s="53"/>
      <c r="I31" s="53"/>
      <c r="J31" s="53"/>
      <c r="K31" s="53"/>
    </row>
    <row r="32" spans="1:11" ht="16.5" customHeight="1" x14ac:dyDescent="0.25">
      <c r="A32" s="53"/>
      <c r="B32" s="2013" t="s">
        <v>153</v>
      </c>
      <c r="C32" s="2013"/>
      <c r="D32" s="870"/>
      <c r="E32" s="54"/>
      <c r="F32" s="53"/>
      <c r="G32" s="53"/>
      <c r="H32" s="53"/>
      <c r="I32" s="53"/>
      <c r="J32" s="53"/>
      <c r="K32" s="53"/>
    </row>
    <row r="33" spans="1:11" ht="16.5" customHeight="1" x14ac:dyDescent="0.25">
      <c r="A33" s="53"/>
      <c r="B33" s="2013" t="s">
        <v>315</v>
      </c>
      <c r="C33" s="2013"/>
      <c r="D33" s="870"/>
      <c r="E33" s="54"/>
      <c r="F33" s="53"/>
      <c r="G33" s="53"/>
      <c r="H33" s="53"/>
      <c r="I33" s="53"/>
      <c r="J33" s="53"/>
      <c r="K33" s="53"/>
    </row>
    <row r="34" spans="1:11" ht="16.5" customHeight="1" x14ac:dyDescent="0.25">
      <c r="A34" s="53"/>
      <c r="B34" s="2013" t="s">
        <v>316</v>
      </c>
      <c r="C34" s="2013"/>
      <c r="D34" s="184"/>
      <c r="E34" s="54"/>
      <c r="F34" s="53"/>
      <c r="G34" s="53"/>
      <c r="H34" s="53"/>
      <c r="I34" s="53"/>
      <c r="J34" s="53"/>
      <c r="K34" s="53"/>
    </row>
    <row r="35" spans="1:11" x14ac:dyDescent="0.25">
      <c r="A35" s="53"/>
      <c r="B35" s="54"/>
      <c r="C35" s="54"/>
      <c r="D35" s="54"/>
      <c r="E35" s="54"/>
      <c r="F35" s="53"/>
      <c r="G35" s="53"/>
      <c r="H35" s="53"/>
      <c r="I35" s="53"/>
      <c r="J35" s="53"/>
      <c r="K35" s="53"/>
    </row>
    <row r="36" spans="1:11" ht="18" customHeight="1" x14ac:dyDescent="0.25">
      <c r="A36" s="53"/>
      <c r="B36" s="2013" t="s">
        <v>1667</v>
      </c>
      <c r="C36" s="2013"/>
      <c r="D36" s="2013"/>
      <c r="E36" s="2013"/>
      <c r="F36" s="89">
        <f>D32-D33+D34</f>
        <v>0</v>
      </c>
      <c r="G36" s="53"/>
      <c r="H36" s="53"/>
      <c r="I36" s="53"/>
      <c r="J36" s="53"/>
      <c r="K36" s="53"/>
    </row>
    <row r="37" spans="1:11" x14ac:dyDescent="0.25">
      <c r="A37" s="53"/>
      <c r="B37" s="874"/>
      <c r="C37" s="874"/>
      <c r="D37" s="874"/>
      <c r="E37" s="874"/>
      <c r="F37" s="53"/>
      <c r="G37" s="53"/>
      <c r="H37" s="53"/>
      <c r="I37" s="53"/>
      <c r="J37" s="53"/>
      <c r="K37" s="53"/>
    </row>
    <row r="38" spans="1:11" ht="27" customHeight="1" x14ac:dyDescent="0.25">
      <c r="A38" s="53"/>
      <c r="B38" s="871" t="s">
        <v>42</v>
      </c>
      <c r="C38" s="10" t="s">
        <v>43</v>
      </c>
      <c r="D38" s="11" t="s">
        <v>317</v>
      </c>
      <c r="E38" s="10" t="s">
        <v>318</v>
      </c>
      <c r="F38" s="2000" t="s">
        <v>33</v>
      </c>
      <c r="G38" s="2001"/>
      <c r="H38" s="53"/>
      <c r="I38" s="53"/>
      <c r="J38" s="53"/>
      <c r="K38" s="53"/>
    </row>
    <row r="39" spans="1:11" x14ac:dyDescent="0.25">
      <c r="A39" s="53"/>
      <c r="B39" s="184"/>
      <c r="C39" s="184"/>
      <c r="D39" s="184"/>
      <c r="E39" s="417" t="str">
        <f>IF(D39="","",C39*(1-D39))</f>
        <v/>
      </c>
      <c r="F39" s="2028"/>
      <c r="G39" s="2029"/>
      <c r="H39" s="53"/>
      <c r="I39" s="53"/>
      <c r="J39" s="53"/>
      <c r="K39" s="53"/>
    </row>
    <row r="40" spans="1:11" x14ac:dyDescent="0.25">
      <c r="A40" s="53"/>
      <c r="B40" s="184"/>
      <c r="C40" s="184"/>
      <c r="D40" s="184"/>
      <c r="E40" s="417" t="str">
        <f t="shared" ref="E40:E48" si="0">IF(D40="","",C40*(1-D40))</f>
        <v/>
      </c>
      <c r="F40" s="2028"/>
      <c r="G40" s="2029"/>
      <c r="H40" s="53"/>
      <c r="I40" s="53"/>
      <c r="J40" s="53"/>
      <c r="K40" s="53"/>
    </row>
    <row r="41" spans="1:11" x14ac:dyDescent="0.25">
      <c r="A41" s="53"/>
      <c r="B41" s="184"/>
      <c r="C41" s="184"/>
      <c r="D41" s="184"/>
      <c r="E41" s="417" t="str">
        <f t="shared" si="0"/>
        <v/>
      </c>
      <c r="F41" s="2028"/>
      <c r="G41" s="2029"/>
      <c r="H41" s="53"/>
      <c r="I41" s="53"/>
      <c r="J41" s="53"/>
      <c r="K41" s="53"/>
    </row>
    <row r="42" spans="1:11" x14ac:dyDescent="0.25">
      <c r="A42" s="53"/>
      <c r="B42" s="881"/>
      <c r="C42" s="881"/>
      <c r="D42" s="881"/>
      <c r="E42" s="417" t="str">
        <f>IF(D42="","",C42*(1-D42))</f>
        <v/>
      </c>
      <c r="F42" s="2028"/>
      <c r="G42" s="2029"/>
      <c r="H42" s="53"/>
      <c r="I42" s="53"/>
      <c r="J42" s="53"/>
      <c r="K42" s="53"/>
    </row>
    <row r="43" spans="1:11" x14ac:dyDescent="0.25">
      <c r="A43" s="53"/>
      <c r="B43" s="881"/>
      <c r="C43" s="881"/>
      <c r="D43" s="881"/>
      <c r="E43" s="417" t="str">
        <f>IF(D43="","",C43*(1-D43))</f>
        <v/>
      </c>
      <c r="F43" s="2028"/>
      <c r="G43" s="2029"/>
      <c r="H43" s="53"/>
      <c r="I43" s="53"/>
      <c r="J43" s="53"/>
      <c r="K43" s="53"/>
    </row>
    <row r="44" spans="1:11" x14ac:dyDescent="0.25">
      <c r="A44" s="53"/>
      <c r="B44" s="881"/>
      <c r="C44" s="881"/>
      <c r="D44" s="881"/>
      <c r="E44" s="417" t="str">
        <f>IF(D44="","",C44*(1-D44))</f>
        <v/>
      </c>
      <c r="F44" s="2028"/>
      <c r="G44" s="2029"/>
      <c r="H44" s="53"/>
      <c r="I44" s="53"/>
      <c r="J44" s="53"/>
      <c r="K44" s="53"/>
    </row>
    <row r="45" spans="1:11" x14ac:dyDescent="0.25">
      <c r="A45" s="53"/>
      <c r="B45" s="881"/>
      <c r="C45" s="881"/>
      <c r="D45" s="881"/>
      <c r="E45" s="417" t="str">
        <f>IF(D45="","",C45*(1-D45))</f>
        <v/>
      </c>
      <c r="F45" s="2028"/>
      <c r="G45" s="2029"/>
      <c r="H45" s="53"/>
      <c r="I45" s="53"/>
      <c r="J45" s="53"/>
      <c r="K45" s="53"/>
    </row>
    <row r="46" spans="1:11" x14ac:dyDescent="0.25">
      <c r="A46" s="53"/>
      <c r="B46" s="881"/>
      <c r="C46" s="881"/>
      <c r="D46" s="881"/>
      <c r="E46" s="417" t="str">
        <f>IF(D46="","",C46*(1-D46))</f>
        <v/>
      </c>
      <c r="F46" s="2028"/>
      <c r="G46" s="2029"/>
      <c r="H46" s="53"/>
      <c r="I46" s="53"/>
      <c r="J46" s="53"/>
      <c r="K46" s="53"/>
    </row>
    <row r="47" spans="1:11" x14ac:dyDescent="0.25">
      <c r="A47" s="53"/>
      <c r="B47" s="184"/>
      <c r="C47" s="184"/>
      <c r="D47" s="184"/>
      <c r="E47" s="417" t="str">
        <f t="shared" si="0"/>
        <v/>
      </c>
      <c r="F47" s="2028"/>
      <c r="G47" s="2029"/>
      <c r="H47" s="53"/>
      <c r="I47" s="53"/>
      <c r="J47" s="53"/>
      <c r="K47" s="53"/>
    </row>
    <row r="48" spans="1:11" x14ac:dyDescent="0.25">
      <c r="A48" s="53"/>
      <c r="B48" s="184"/>
      <c r="C48" s="184"/>
      <c r="D48" s="184"/>
      <c r="E48" s="417" t="str">
        <f t="shared" si="0"/>
        <v/>
      </c>
      <c r="F48" s="2028"/>
      <c r="G48" s="2029"/>
      <c r="H48" s="53"/>
      <c r="I48" s="53"/>
      <c r="J48" s="53"/>
      <c r="K48" s="53"/>
    </row>
    <row r="49" spans="1:11" x14ac:dyDescent="0.25">
      <c r="A49" s="53"/>
      <c r="B49" s="54"/>
      <c r="C49" s="469" t="str">
        <f>IF(SUM(C39:C48)=0,"",IF(SUM(C39:C48)&lt;&gt;F36,"It is necessary to have the areas match together",""))</f>
        <v/>
      </c>
      <c r="D49" s="54"/>
      <c r="E49" s="328">
        <f>SUM(E39:E48)</f>
        <v>0</v>
      </c>
      <c r="F49" s="53"/>
      <c r="G49" s="53"/>
      <c r="H49" s="53"/>
      <c r="I49" s="53"/>
      <c r="J49" s="53"/>
      <c r="K49" s="53"/>
    </row>
    <row r="50" spans="1:11" ht="16.5" customHeight="1" x14ac:dyDescent="0.25">
      <c r="A50" s="53"/>
      <c r="B50" s="54"/>
      <c r="C50" s="54"/>
      <c r="D50" s="54"/>
      <c r="E50" s="54"/>
      <c r="F50" s="53"/>
      <c r="G50" s="53"/>
      <c r="H50" s="53"/>
      <c r="I50" s="53"/>
      <c r="J50" s="53"/>
      <c r="K50" s="53"/>
    </row>
    <row r="51" spans="1:11" ht="18" customHeight="1" x14ac:dyDescent="0.25">
      <c r="A51" s="53"/>
      <c r="B51" s="1987" t="s">
        <v>319</v>
      </c>
      <c r="C51" s="1987"/>
      <c r="D51" s="416" t="str">
        <f>IF(C49="",IF(F36=0,"",E49/F36),"")</f>
        <v/>
      </c>
      <c r="E51" s="73"/>
      <c r="F51" s="53"/>
      <c r="G51" s="53"/>
      <c r="H51" s="53"/>
      <c r="I51" s="53"/>
      <c r="J51" s="53"/>
      <c r="K51" s="53"/>
    </row>
    <row r="52" spans="1:11" ht="18" customHeight="1" x14ac:dyDescent="0.25">
      <c r="A52" s="53"/>
      <c r="B52" s="54"/>
      <c r="C52" s="54"/>
      <c r="D52" s="54"/>
      <c r="E52" s="54"/>
      <c r="F52" s="53"/>
      <c r="G52" s="53"/>
      <c r="H52" s="53"/>
      <c r="I52" s="53"/>
      <c r="J52" s="53"/>
      <c r="K52" s="53"/>
    </row>
    <row r="53" spans="1:11" ht="18" customHeight="1" x14ac:dyDescent="0.25">
      <c r="A53" s="1974" t="s">
        <v>200</v>
      </c>
      <c r="B53" s="1974"/>
      <c r="C53" s="1974"/>
      <c r="D53" s="1974"/>
      <c r="E53" s="1974"/>
      <c r="F53" s="1974"/>
      <c r="G53" s="1974"/>
      <c r="H53" s="1974"/>
      <c r="I53" s="1974"/>
      <c r="J53" s="1974"/>
      <c r="K53" s="1974"/>
    </row>
    <row r="54" spans="1:11" x14ac:dyDescent="0.25">
      <c r="A54" s="53"/>
      <c r="B54" s="53"/>
      <c r="C54" s="53"/>
      <c r="D54" s="53"/>
      <c r="E54" s="53"/>
      <c r="F54" s="53"/>
      <c r="G54" s="53"/>
      <c r="H54" s="53"/>
      <c r="I54" s="53"/>
      <c r="J54" s="53"/>
      <c r="K54" s="53"/>
    </row>
    <row r="55" spans="1:11" ht="18" customHeight="1" x14ac:dyDescent="0.25">
      <c r="A55" s="53"/>
      <c r="B55" s="1998" t="s">
        <v>2103</v>
      </c>
      <c r="C55" s="1999"/>
      <c r="D55" s="1999"/>
      <c r="E55" s="1999"/>
      <c r="F55" s="1999"/>
      <c r="G55" s="1080" t="s">
        <v>2101</v>
      </c>
      <c r="H55" s="2000" t="s">
        <v>2102</v>
      </c>
      <c r="I55" s="2001"/>
      <c r="J55" s="53"/>
      <c r="K55" s="53"/>
    </row>
    <row r="56" spans="1:11" ht="24" customHeight="1" x14ac:dyDescent="0.25">
      <c r="A56" s="53"/>
      <c r="B56" s="1436" t="s">
        <v>1353</v>
      </c>
      <c r="C56" s="1437"/>
      <c r="D56" s="1437"/>
      <c r="E56" s="1437"/>
      <c r="F56" s="1438"/>
      <c r="G56" s="518" t="s">
        <v>129</v>
      </c>
      <c r="H56" s="1730"/>
      <c r="I56" s="1729"/>
      <c r="J56" s="53"/>
      <c r="K56" s="53"/>
    </row>
    <row r="57" spans="1:11" ht="24" customHeight="1" x14ac:dyDescent="0.25">
      <c r="A57" s="53"/>
      <c r="B57" s="1436" t="s">
        <v>1354</v>
      </c>
      <c r="C57" s="1437"/>
      <c r="D57" s="1437"/>
      <c r="E57" s="1437"/>
      <c r="F57" s="1438"/>
      <c r="G57" s="518" t="s">
        <v>129</v>
      </c>
      <c r="H57" s="1730"/>
      <c r="I57" s="1729"/>
      <c r="J57" s="53"/>
      <c r="K57" s="53"/>
    </row>
    <row r="58" spans="1:11" ht="16.5" customHeight="1" x14ac:dyDescent="0.25">
      <c r="A58" s="53"/>
      <c r="B58" s="53"/>
      <c r="C58" s="53"/>
      <c r="D58" s="53"/>
      <c r="E58" s="53"/>
      <c r="F58" s="53"/>
      <c r="G58" s="53"/>
      <c r="H58" s="53"/>
      <c r="I58" s="53"/>
      <c r="J58" s="53"/>
      <c r="K58" s="53"/>
    </row>
    <row r="59" spans="1:11" ht="18" customHeight="1" x14ac:dyDescent="0.25">
      <c r="A59" s="1974" t="s">
        <v>25</v>
      </c>
      <c r="B59" s="1974"/>
      <c r="C59" s="1974"/>
      <c r="D59" s="1974"/>
      <c r="E59" s="1974"/>
      <c r="F59" s="1974"/>
      <c r="G59" s="1974"/>
      <c r="H59" s="1974"/>
      <c r="I59" s="1974"/>
      <c r="J59" s="1974"/>
      <c r="K59" s="1974"/>
    </row>
    <row r="60" spans="1:11" ht="15" customHeight="1" x14ac:dyDescent="0.25">
      <c r="A60" s="53"/>
      <c r="B60" s="54"/>
      <c r="C60" s="54"/>
      <c r="D60" s="54"/>
      <c r="E60" s="54"/>
      <c r="F60" s="53"/>
      <c r="G60" s="53"/>
      <c r="H60" s="53"/>
      <c r="I60" s="53"/>
      <c r="J60" s="53"/>
      <c r="K60" s="53"/>
    </row>
    <row r="61" spans="1:11" ht="17.25" customHeight="1" x14ac:dyDescent="0.25">
      <c r="A61" s="53"/>
      <c r="B61" s="264" t="s">
        <v>56</v>
      </c>
      <c r="C61" s="12">
        <f>IF(D51="",0,IF(D51&gt;=0.5,2,IF(D51&gt;=0.3,1,0)))</f>
        <v>0</v>
      </c>
      <c r="D61" s="54"/>
      <c r="E61" s="53"/>
      <c r="F61" s="53"/>
      <c r="G61" s="53"/>
      <c r="H61" s="53"/>
      <c r="I61" s="53"/>
      <c r="J61" s="53"/>
      <c r="K61" s="53"/>
    </row>
    <row r="62" spans="1:11" ht="17.25" customHeight="1" x14ac:dyDescent="0.25">
      <c r="A62" s="53"/>
      <c r="B62" s="264" t="s">
        <v>521</v>
      </c>
      <c r="C62" s="203" t="str">
        <f>IF(AND(COUNTIF(G56:G57,"Submitted")=2,C61&gt;0),"Yes","No")</f>
        <v>No</v>
      </c>
      <c r="D62" s="53"/>
      <c r="E62" s="53"/>
      <c r="F62" s="53"/>
      <c r="G62" s="53"/>
      <c r="H62" s="53"/>
      <c r="I62" s="53"/>
      <c r="J62" s="53"/>
      <c r="K62" s="53"/>
    </row>
    <row r="63" spans="1:11" x14ac:dyDescent="0.25">
      <c r="A63" s="53"/>
      <c r="B63" s="53"/>
      <c r="C63" s="53"/>
      <c r="D63" s="53"/>
      <c r="E63" s="53"/>
      <c r="F63" s="53"/>
      <c r="G63" s="53"/>
      <c r="H63" s="53"/>
      <c r="I63" s="53"/>
      <c r="J63" s="53"/>
      <c r="K63" s="53"/>
    </row>
  </sheetData>
  <sheetProtection algorithmName="SHA-512" hashValue="6X9kcQLw66dYmLMRfT8/z+5Z8eaPaLrJ0LjgiiqV43MYJJMWBH0XBaHpLjDbkCWrsnSbFwd91U8WBZ46Dr5FvQ==" saltValue="+Gqzgt50eJIaFbiJztV9Ew==" spinCount="100000" sheet="1" objects="1" scenarios="1"/>
  <mergeCells count="32">
    <mergeCell ref="A26:K26"/>
    <mergeCell ref="A14:K14"/>
    <mergeCell ref="A9:K9"/>
    <mergeCell ref="A53:K53"/>
    <mergeCell ref="A59:K59"/>
    <mergeCell ref="H57:I57"/>
    <mergeCell ref="F38:G38"/>
    <mergeCell ref="F40:G40"/>
    <mergeCell ref="F46:G46"/>
    <mergeCell ref="F42:G42"/>
    <mergeCell ref="F43:G43"/>
    <mergeCell ref="F44:G44"/>
    <mergeCell ref="F45:G45"/>
    <mergeCell ref="F41:G41"/>
    <mergeCell ref="F47:G47"/>
    <mergeCell ref="F48:G48"/>
    <mergeCell ref="A1:K1"/>
    <mergeCell ref="B57:F57"/>
    <mergeCell ref="G2:H4"/>
    <mergeCell ref="A5:K7"/>
    <mergeCell ref="B11:E11"/>
    <mergeCell ref="B12:E12"/>
    <mergeCell ref="B32:C32"/>
    <mergeCell ref="B33:C33"/>
    <mergeCell ref="B34:C34"/>
    <mergeCell ref="B36:E36"/>
    <mergeCell ref="B51:C51"/>
    <mergeCell ref="B56:F56"/>
    <mergeCell ref="F39:G39"/>
    <mergeCell ref="B55:F55"/>
    <mergeCell ref="H55:I55"/>
    <mergeCell ref="H56:I56"/>
  </mergeCells>
  <conditionalFormatting sqref="G56:G57">
    <cfRule type="expression" dxfId="47" priority="3">
      <formula>#REF!&lt;&gt;"Prescriptive Path"</formula>
    </cfRule>
  </conditionalFormatting>
  <conditionalFormatting sqref="H55:I55">
    <cfRule type="expression" dxfId="46" priority="2">
      <formula>#REF!&lt;&gt;"Prescriptive Path"</formula>
    </cfRule>
  </conditionalFormatting>
  <conditionalFormatting sqref="H56:H57">
    <cfRule type="expression" dxfId="45" priority="1">
      <formula>#REF!&lt;&gt;"Prescriptive Path"</formula>
    </cfRule>
  </conditionalFormatting>
  <dataValidations disablePrompts="1" count="4">
    <dataValidation type="list" allowBlank="1" showInputMessage="1" showErrorMessage="1" sqref="G56:G57">
      <formula1>"Submitted,Not submitted"</formula1>
    </dataValidation>
    <dataValidation allowBlank="1" showInputMessage="1" showErrorMessage="1" prompt="Information filled in Project Information sheet._x000a_" sqref="D51"/>
    <dataValidation allowBlank="1" showInputMessage="1" showErrorMessage="1" prompt="_x000a_" sqref="F36"/>
    <dataValidation allowBlank="1" showInputMessage="1" showErrorMessage="1" prompt="Provide details on the surface installed, on the value of run-off coefficient used, etc." sqref="F39:F48"/>
  </dataValidations>
  <hyperlinks>
    <hyperlink ref="I3" location="'LE-2 Site design'!B3" tooltip="LE-2" display="LE-2"/>
    <hyperlink ref="I4" location="'LE-3 Vegetation'!D3" tooltip="LE-3" display="LE-3"/>
    <hyperlink ref="J2" location="'LE-4 Heat Island Effect'!E3" tooltip="LE-4" display="LE-4"/>
    <hyperlink ref="K2" location="'LE-8 Waste Management'!E3" tooltip="LE-8" display="LE-8"/>
    <hyperlink ref="K3" location="'LE BPC'!E3" tooltip="BPC" display="BPC"/>
    <hyperlink ref="J4" location="'LE-7 Refrigerants'!E3" tooltip="LE-7" display="LE-7"/>
    <hyperlink ref="J3" location="'LE-6 Flood Risk Mitigation'!E3" tooltip="LE-6" display="LE-6"/>
    <hyperlink ref="I2" location="'LE-1 Site Selection'!B3" tooltip="LE-1" display="LE-1"/>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6923C"/>
  </sheetPr>
  <dimension ref="A1:M56"/>
  <sheetViews>
    <sheetView showRowColHeaders="0" workbookViewId="0">
      <pane ySplit="8" topLeftCell="A9" activePane="bottomLeft" state="frozen"/>
      <selection activeCell="M21" sqref="M21"/>
      <selection pane="bottomLeft" activeCell="A9" sqref="A9"/>
    </sheetView>
  </sheetViews>
  <sheetFormatPr defaultColWidth="0" defaultRowHeight="15" customHeight="1" zeroHeight="1" x14ac:dyDescent="0.25"/>
  <cols>
    <col min="1" max="1" width="4.7109375" style="42" customWidth="1"/>
    <col min="2" max="7" width="18.42578125" style="42" customWidth="1"/>
    <col min="8" max="8" width="18.7109375" style="42" customWidth="1"/>
    <col min="9" max="11" width="8.7109375" style="42" customWidth="1"/>
    <col min="12" max="16384" width="9.140625" style="42" hidden="1"/>
  </cols>
  <sheetData>
    <row r="1" spans="1:11" ht="24" customHeight="1" x14ac:dyDescent="0.25">
      <c r="A1" s="1975" t="s">
        <v>250</v>
      </c>
      <c r="B1" s="1975"/>
      <c r="C1" s="1975"/>
      <c r="D1" s="1975"/>
      <c r="E1" s="1975"/>
      <c r="F1" s="1975"/>
      <c r="G1" s="1975"/>
      <c r="H1" s="1975"/>
      <c r="I1" s="1975"/>
      <c r="J1" s="1975"/>
      <c r="K1" s="1975"/>
    </row>
    <row r="2" spans="1:11" ht="15" customHeight="1" x14ac:dyDescent="0.25">
      <c r="A2" s="53"/>
      <c r="B2" s="54"/>
      <c r="C2" s="54"/>
      <c r="D2" s="54"/>
      <c r="E2" s="54"/>
      <c r="F2" s="53"/>
      <c r="G2" s="1426" t="s">
        <v>2108</v>
      </c>
      <c r="H2" s="1426"/>
      <c r="I2" s="258" t="s">
        <v>60</v>
      </c>
      <c r="J2" s="258" t="s">
        <v>72</v>
      </c>
      <c r="K2" s="258" t="s">
        <v>160</v>
      </c>
    </row>
    <row r="3" spans="1:11" ht="15" customHeight="1" x14ac:dyDescent="0.25">
      <c r="A3" s="53"/>
      <c r="B3" s="54"/>
      <c r="C3" s="54"/>
      <c r="D3" s="54"/>
      <c r="E3" s="54"/>
      <c r="F3" s="53"/>
      <c r="G3" s="1426"/>
      <c r="H3" s="1426"/>
      <c r="I3" s="258" t="s">
        <v>64</v>
      </c>
      <c r="J3" s="258" t="s">
        <v>76</v>
      </c>
      <c r="K3" s="258" t="s">
        <v>79</v>
      </c>
    </row>
    <row r="4" spans="1:11" ht="15" customHeight="1" x14ac:dyDescent="0.25">
      <c r="A4" s="53"/>
      <c r="B4" s="54"/>
      <c r="C4" s="54"/>
      <c r="D4" s="54"/>
      <c r="E4" s="54"/>
      <c r="F4" s="53"/>
      <c r="G4" s="1652"/>
      <c r="H4" s="1652"/>
      <c r="I4" s="258" t="s">
        <v>68</v>
      </c>
      <c r="J4" s="258" t="s">
        <v>131</v>
      </c>
      <c r="K4" s="240"/>
    </row>
    <row r="5" spans="1:11" ht="18" customHeight="1" x14ac:dyDescent="0.25">
      <c r="A5" s="1417" t="s">
        <v>2429</v>
      </c>
      <c r="B5" s="1418"/>
      <c r="C5" s="1418"/>
      <c r="D5" s="1418"/>
      <c r="E5" s="1418"/>
      <c r="F5" s="1418"/>
      <c r="G5" s="1418"/>
      <c r="H5" s="1418"/>
      <c r="I5" s="1418"/>
      <c r="J5" s="1418"/>
      <c r="K5" s="1418"/>
    </row>
    <row r="6" spans="1:11" ht="18" customHeight="1" x14ac:dyDescent="0.25">
      <c r="A6" s="1420"/>
      <c r="B6" s="1421"/>
      <c r="C6" s="1421"/>
      <c r="D6" s="1421"/>
      <c r="E6" s="1421"/>
      <c r="F6" s="1421"/>
      <c r="G6" s="1421"/>
      <c r="H6" s="1421"/>
      <c r="I6" s="1421"/>
      <c r="J6" s="1421"/>
      <c r="K6" s="1421"/>
    </row>
    <row r="7" spans="1:11" ht="18" customHeight="1" x14ac:dyDescent="0.25">
      <c r="A7" s="1423"/>
      <c r="B7" s="1424"/>
      <c r="C7" s="1424"/>
      <c r="D7" s="1424"/>
      <c r="E7" s="1424"/>
      <c r="F7" s="1424"/>
      <c r="G7" s="1424"/>
      <c r="H7" s="1424"/>
      <c r="I7" s="1424"/>
      <c r="J7" s="1424"/>
      <c r="K7" s="1424"/>
    </row>
    <row r="8" spans="1:11" ht="12" customHeight="1" x14ac:dyDescent="0.25">
      <c r="A8" s="53"/>
      <c r="B8" s="54"/>
      <c r="C8" s="54"/>
      <c r="D8" s="54"/>
      <c r="E8" s="54"/>
      <c r="F8" s="53"/>
      <c r="G8" s="53"/>
      <c r="H8" s="53"/>
      <c r="I8" s="53"/>
      <c r="J8" s="53"/>
      <c r="K8" s="53"/>
    </row>
    <row r="9" spans="1:11" ht="18" customHeight="1" x14ac:dyDescent="0.25">
      <c r="A9" s="275" t="s">
        <v>191</v>
      </c>
      <c r="B9" s="9"/>
      <c r="C9" s="9"/>
      <c r="D9" s="9"/>
      <c r="E9" s="9"/>
      <c r="F9" s="9"/>
      <c r="G9" s="9"/>
      <c r="H9" s="9"/>
      <c r="I9" s="9"/>
      <c r="J9" s="9"/>
      <c r="K9" s="9"/>
    </row>
    <row r="10" spans="1:11" ht="16.5" customHeight="1" x14ac:dyDescent="0.25">
      <c r="A10" s="53"/>
      <c r="B10" s="54"/>
      <c r="C10" s="54"/>
      <c r="D10" s="54"/>
      <c r="E10" s="54"/>
      <c r="F10" s="53"/>
      <c r="G10" s="53"/>
      <c r="H10" s="53"/>
      <c r="I10" s="53"/>
      <c r="J10" s="53"/>
      <c r="K10" s="53"/>
    </row>
    <row r="11" spans="1:11" ht="19.5" customHeight="1" x14ac:dyDescent="0.25">
      <c r="A11" s="53"/>
      <c r="B11" s="1984" t="s">
        <v>192</v>
      </c>
      <c r="C11" s="1985"/>
      <c r="D11" s="1985"/>
      <c r="E11" s="1985"/>
      <c r="F11" s="715" t="s">
        <v>157</v>
      </c>
      <c r="G11" s="715" t="s">
        <v>56</v>
      </c>
      <c r="H11" s="60" t="s">
        <v>521</v>
      </c>
      <c r="I11" s="53"/>
      <c r="J11" s="53"/>
      <c r="K11" s="53"/>
    </row>
    <row r="12" spans="1:11" ht="39.75" customHeight="1" x14ac:dyDescent="0.25">
      <c r="A12" s="53"/>
      <c r="B12" s="1430" t="s">
        <v>7</v>
      </c>
      <c r="C12" s="1431"/>
      <c r="D12" s="1431"/>
      <c r="E12" s="1973"/>
      <c r="F12" s="59">
        <v>1</v>
      </c>
      <c r="G12" s="59">
        <f>C48</f>
        <v>0</v>
      </c>
      <c r="H12" s="59" t="str">
        <f>C49</f>
        <v>No</v>
      </c>
      <c r="I12" s="53"/>
      <c r="J12" s="53"/>
      <c r="K12" s="53"/>
    </row>
    <row r="13" spans="1:11" ht="16.5" customHeight="1" x14ac:dyDescent="0.25">
      <c r="A13" s="53"/>
      <c r="B13" s="54"/>
      <c r="C13" s="54"/>
      <c r="D13" s="54"/>
      <c r="E13" s="54"/>
      <c r="F13" s="53"/>
      <c r="G13" s="53"/>
      <c r="H13" s="53"/>
      <c r="I13" s="53"/>
      <c r="J13" s="53"/>
      <c r="K13" s="53"/>
    </row>
    <row r="14" spans="1:11" ht="18" customHeight="1" x14ac:dyDescent="0.25">
      <c r="A14" s="275" t="s">
        <v>265</v>
      </c>
      <c r="B14" s="9"/>
      <c r="C14" s="9"/>
      <c r="D14" s="9"/>
      <c r="E14" s="9"/>
      <c r="F14" s="9"/>
      <c r="G14" s="9"/>
      <c r="H14" s="9"/>
      <c r="I14" s="9"/>
      <c r="J14" s="9"/>
      <c r="K14" s="9"/>
    </row>
    <row r="15" spans="1:11" x14ac:dyDescent="0.25">
      <c r="A15" s="53"/>
      <c r="B15" s="54"/>
      <c r="C15" s="54"/>
      <c r="D15" s="54"/>
      <c r="E15" s="54"/>
      <c r="F15" s="53"/>
      <c r="G15" s="53"/>
      <c r="H15" s="53"/>
      <c r="I15" s="53"/>
      <c r="J15" s="53"/>
      <c r="K15" s="53"/>
    </row>
    <row r="16" spans="1:11" x14ac:dyDescent="0.25">
      <c r="A16" s="53"/>
      <c r="B16" s="869" t="s">
        <v>1665</v>
      </c>
      <c r="C16" s="54"/>
      <c r="D16" s="54"/>
      <c r="E16" s="54"/>
      <c r="F16" s="53"/>
      <c r="G16" s="53"/>
      <c r="H16" s="53"/>
      <c r="I16" s="53"/>
      <c r="J16" s="53"/>
      <c r="K16" s="53"/>
    </row>
    <row r="17" spans="1:13" x14ac:dyDescent="0.25">
      <c r="A17" s="53"/>
      <c r="B17" s="54"/>
      <c r="C17" s="54"/>
      <c r="D17" s="54"/>
      <c r="E17" s="54"/>
      <c r="F17" s="53"/>
      <c r="G17" s="53"/>
      <c r="H17" s="53"/>
      <c r="I17" s="53"/>
      <c r="J17" s="53"/>
      <c r="K17" s="53"/>
    </row>
    <row r="18" spans="1:13" ht="15" customHeight="1" x14ac:dyDescent="0.25">
      <c r="A18" s="53"/>
      <c r="B18" s="762" t="s">
        <v>321</v>
      </c>
      <c r="C18" s="757"/>
      <c r="D18" s="757"/>
      <c r="E18" s="757"/>
      <c r="F18" s="757"/>
      <c r="G18" s="758"/>
      <c r="H18" s="53"/>
      <c r="I18" s="53"/>
      <c r="J18" s="53"/>
      <c r="K18" s="53"/>
    </row>
    <row r="19" spans="1:13" ht="15" customHeight="1" x14ac:dyDescent="0.25">
      <c r="A19" s="53"/>
      <c r="B19" s="640" t="s">
        <v>788</v>
      </c>
      <c r="C19" s="756"/>
      <c r="D19" s="756"/>
      <c r="E19" s="756"/>
      <c r="F19" s="756"/>
      <c r="G19" s="759"/>
      <c r="H19" s="53"/>
      <c r="I19" s="53"/>
      <c r="J19" s="53"/>
      <c r="K19" s="53"/>
    </row>
    <row r="20" spans="1:13" ht="15" customHeight="1" x14ac:dyDescent="0.25">
      <c r="A20" s="53"/>
      <c r="B20" s="642" t="s">
        <v>322</v>
      </c>
      <c r="C20" s="760"/>
      <c r="D20" s="760"/>
      <c r="E20" s="760"/>
      <c r="F20" s="760"/>
      <c r="G20" s="761"/>
      <c r="H20" s="53"/>
      <c r="I20" s="53"/>
      <c r="J20" s="53"/>
      <c r="K20" s="53"/>
    </row>
    <row r="21" spans="1:13" ht="15" customHeight="1" x14ac:dyDescent="0.25">
      <c r="A21" s="53"/>
      <c r="B21" s="90"/>
      <c r="C21" s="53"/>
      <c r="D21" s="53"/>
      <c r="E21" s="53"/>
      <c r="F21" s="53"/>
      <c r="G21" s="53"/>
      <c r="H21" s="53"/>
      <c r="I21" s="53"/>
      <c r="J21" s="53"/>
      <c r="K21" s="53"/>
    </row>
    <row r="22" spans="1:13" x14ac:dyDescent="0.25">
      <c r="A22" s="53"/>
      <c r="B22" s="1411" t="s">
        <v>1365</v>
      </c>
      <c r="C22" s="1411"/>
      <c r="D22" s="1411"/>
      <c r="E22" s="1411"/>
      <c r="F22" s="1411"/>
      <c r="G22" s="53"/>
      <c r="H22" s="53"/>
      <c r="I22" s="53"/>
      <c r="J22" s="53"/>
      <c r="K22" s="53"/>
    </row>
    <row r="23" spans="1:13" ht="9" customHeight="1" x14ac:dyDescent="0.25">
      <c r="A23" s="53"/>
      <c r="B23" s="722"/>
      <c r="C23" s="722"/>
      <c r="D23" s="722"/>
      <c r="E23" s="722"/>
      <c r="F23" s="722"/>
      <c r="G23" s="53"/>
      <c r="H23" s="53"/>
      <c r="I23" s="53"/>
      <c r="J23" s="53"/>
      <c r="K23" s="53"/>
    </row>
    <row r="24" spans="1:13" ht="18" customHeight="1" x14ac:dyDescent="0.25">
      <c r="A24" s="53"/>
      <c r="B24" s="1524" t="s">
        <v>1664</v>
      </c>
      <c r="C24" s="1524"/>
      <c r="D24" s="1524"/>
      <c r="E24" s="1524"/>
      <c r="F24" s="1116" t="s">
        <v>129</v>
      </c>
      <c r="G24" s="53"/>
      <c r="H24" s="53"/>
      <c r="I24" s="53"/>
      <c r="J24" s="53"/>
      <c r="K24" s="53"/>
      <c r="L24" s="87" t="b">
        <v>0</v>
      </c>
      <c r="M24" s="87" t="b">
        <v>0</v>
      </c>
    </row>
    <row r="25" spans="1:13" ht="18" customHeight="1" x14ac:dyDescent="0.25">
      <c r="A25" s="53"/>
      <c r="B25" s="1524" t="s">
        <v>1364</v>
      </c>
      <c r="C25" s="1524"/>
      <c r="D25" s="1524"/>
      <c r="E25" s="1524"/>
      <c r="F25" s="1116" t="s">
        <v>129</v>
      </c>
      <c r="G25" s="53"/>
      <c r="H25" s="53"/>
      <c r="I25" s="53"/>
      <c r="J25" s="53"/>
      <c r="K25" s="53"/>
      <c r="L25" s="87" t="b">
        <v>0</v>
      </c>
      <c r="M25" s="87" t="b">
        <v>0</v>
      </c>
    </row>
    <row r="26" spans="1:13" ht="19.5" customHeight="1" x14ac:dyDescent="0.25">
      <c r="A26" s="53"/>
      <c r="B26" s="90"/>
      <c r="C26" s="53"/>
      <c r="D26" s="53"/>
      <c r="E26" s="53"/>
      <c r="F26" s="53"/>
      <c r="G26" s="53"/>
      <c r="H26" s="53"/>
      <c r="I26" s="53"/>
      <c r="J26" s="53"/>
      <c r="K26" s="53"/>
    </row>
    <row r="27" spans="1:13" ht="15" customHeight="1" x14ac:dyDescent="0.25">
      <c r="A27" s="53"/>
      <c r="B27" s="2044" t="s">
        <v>1666</v>
      </c>
      <c r="C27" s="1645"/>
      <c r="D27" s="1645"/>
      <c r="E27" s="1645"/>
      <c r="F27" s="1645"/>
      <c r="G27" s="1645"/>
      <c r="H27" s="1645"/>
      <c r="I27" s="53"/>
      <c r="J27" s="53"/>
      <c r="K27" s="53"/>
    </row>
    <row r="28" spans="1:13" ht="18" customHeight="1" x14ac:dyDescent="0.25">
      <c r="A28" s="53"/>
      <c r="B28" s="738"/>
      <c r="C28" s="722"/>
      <c r="D28" s="722"/>
      <c r="E28" s="722"/>
      <c r="F28" s="722"/>
      <c r="G28" s="722"/>
      <c r="H28" s="722"/>
      <c r="I28" s="53"/>
      <c r="J28" s="53"/>
      <c r="K28" s="53"/>
    </row>
    <row r="29" spans="1:13" ht="15" customHeight="1" x14ac:dyDescent="0.25">
      <c r="A29" s="53"/>
      <c r="B29" s="764" t="s">
        <v>1366</v>
      </c>
      <c r="C29" s="763"/>
      <c r="D29" s="763"/>
      <c r="E29" s="763"/>
      <c r="F29" s="763"/>
      <c r="G29" s="722"/>
      <c r="H29" s="722"/>
      <c r="I29" s="53"/>
      <c r="J29" s="53"/>
      <c r="K29" s="53"/>
    </row>
    <row r="30" spans="1:13" ht="9" customHeight="1" x14ac:dyDescent="0.25">
      <c r="A30" s="53"/>
      <c r="B30" s="724"/>
      <c r="C30" s="724"/>
      <c r="D30" s="724"/>
      <c r="E30" s="724"/>
      <c r="F30" s="724"/>
      <c r="G30" s="722"/>
      <c r="H30" s="722"/>
      <c r="I30" s="53"/>
      <c r="J30" s="53"/>
      <c r="K30" s="53"/>
    </row>
    <row r="31" spans="1:13" ht="18" customHeight="1" x14ac:dyDescent="0.25">
      <c r="A31" s="53"/>
      <c r="B31" s="1998" t="s">
        <v>1367</v>
      </c>
      <c r="C31" s="1999"/>
      <c r="D31" s="1999"/>
      <c r="E31" s="1999"/>
      <c r="F31" s="552" t="s">
        <v>1368</v>
      </c>
      <c r="G31" s="2000" t="s">
        <v>33</v>
      </c>
      <c r="H31" s="2001"/>
      <c r="I31" s="53"/>
      <c r="J31" s="53"/>
      <c r="K31" s="53"/>
    </row>
    <row r="32" spans="1:13" ht="27" customHeight="1" x14ac:dyDescent="0.25">
      <c r="A32" s="53"/>
      <c r="B32" s="2045" t="s">
        <v>323</v>
      </c>
      <c r="C32" s="2046"/>
      <c r="D32" s="2046"/>
      <c r="E32" s="2046"/>
      <c r="F32" s="735" t="s">
        <v>129</v>
      </c>
      <c r="G32" s="1798"/>
      <c r="H32" s="1798"/>
      <c r="I32" s="53"/>
      <c r="J32" s="53"/>
      <c r="K32" s="53"/>
    </row>
    <row r="33" spans="1:11" ht="27" customHeight="1" x14ac:dyDescent="0.25">
      <c r="A33" s="53"/>
      <c r="B33" s="1436" t="s">
        <v>324</v>
      </c>
      <c r="C33" s="1437"/>
      <c r="D33" s="1437"/>
      <c r="E33" s="1437"/>
      <c r="F33" s="765" t="s">
        <v>129</v>
      </c>
      <c r="G33" s="2048"/>
      <c r="H33" s="2048"/>
      <c r="I33" s="53"/>
      <c r="J33" s="53"/>
      <c r="K33" s="53"/>
    </row>
    <row r="34" spans="1:11" ht="27" customHeight="1" x14ac:dyDescent="0.25">
      <c r="A34" s="53"/>
      <c r="B34" s="1436" t="s">
        <v>325</v>
      </c>
      <c r="C34" s="1437"/>
      <c r="D34" s="1437"/>
      <c r="E34" s="1437"/>
      <c r="F34" s="765" t="s">
        <v>129</v>
      </c>
      <c r="G34" s="2048"/>
      <c r="H34" s="2048"/>
      <c r="I34" s="53"/>
      <c r="J34" s="53"/>
      <c r="K34" s="53"/>
    </row>
    <row r="35" spans="1:11" ht="27" customHeight="1" x14ac:dyDescent="0.25">
      <c r="A35" s="53"/>
      <c r="B35" s="1436" t="s">
        <v>326</v>
      </c>
      <c r="C35" s="1437"/>
      <c r="D35" s="1437"/>
      <c r="E35" s="1437"/>
      <c r="F35" s="765" t="s">
        <v>129</v>
      </c>
      <c r="G35" s="2048"/>
      <c r="H35" s="2048"/>
      <c r="I35" s="53"/>
      <c r="J35" s="53"/>
      <c r="K35" s="53"/>
    </row>
    <row r="36" spans="1:11" ht="27" customHeight="1" x14ac:dyDescent="0.25">
      <c r="A36" s="53"/>
      <c r="B36" s="1436" t="s">
        <v>327</v>
      </c>
      <c r="C36" s="1437"/>
      <c r="D36" s="1437"/>
      <c r="E36" s="1437"/>
      <c r="F36" s="765" t="s">
        <v>129</v>
      </c>
      <c r="G36" s="2048"/>
      <c r="H36" s="2048"/>
      <c r="I36" s="53"/>
      <c r="J36" s="53"/>
      <c r="K36" s="53"/>
    </row>
    <row r="37" spans="1:11" ht="18" customHeight="1" x14ac:dyDescent="0.25">
      <c r="A37" s="53"/>
      <c r="B37" s="54"/>
      <c r="C37" s="54"/>
      <c r="D37" s="54"/>
      <c r="E37" s="54"/>
      <c r="F37" s="53"/>
      <c r="G37" s="53"/>
      <c r="H37" s="722"/>
      <c r="I37" s="85"/>
      <c r="J37" s="53"/>
      <c r="K37" s="53"/>
    </row>
    <row r="38" spans="1:11" ht="18" customHeight="1" x14ac:dyDescent="0.25">
      <c r="A38" s="53"/>
      <c r="B38" s="2047" t="s">
        <v>1369</v>
      </c>
      <c r="C38" s="2047"/>
      <c r="D38" s="766" t="str">
        <f>IF(F24="Yes",IF(F25="No","Yes",IF(COUNTIF(F32:F36,"Yes")&gt;0,"Yes","No")),"No")</f>
        <v>No</v>
      </c>
      <c r="E38" s="54"/>
      <c r="F38" s="53"/>
      <c r="G38" s="53"/>
      <c r="H38" s="53"/>
      <c r="I38" s="85"/>
      <c r="J38" s="53"/>
      <c r="K38" s="53"/>
    </row>
    <row r="39" spans="1:11" ht="18" customHeight="1" x14ac:dyDescent="0.25">
      <c r="A39" s="53"/>
      <c r="B39" s="54"/>
      <c r="C39" s="54"/>
      <c r="D39" s="54"/>
      <c r="E39" s="54"/>
      <c r="F39" s="53"/>
      <c r="G39" s="53"/>
      <c r="H39" s="53"/>
      <c r="I39" s="85"/>
      <c r="J39" s="53"/>
      <c r="K39" s="53"/>
    </row>
    <row r="40" spans="1:11" ht="18" customHeight="1" x14ac:dyDescent="0.25">
      <c r="A40" s="275" t="s">
        <v>200</v>
      </c>
      <c r="B40" s="9"/>
      <c r="C40" s="9"/>
      <c r="D40" s="9"/>
      <c r="E40" s="9"/>
      <c r="F40" s="9"/>
      <c r="G40" s="9"/>
      <c r="H40" s="9"/>
      <c r="I40" s="9"/>
      <c r="J40" s="9"/>
      <c r="K40" s="9"/>
    </row>
    <row r="41" spans="1:11" x14ac:dyDescent="0.25">
      <c r="A41" s="53"/>
      <c r="B41" s="54"/>
      <c r="C41" s="54"/>
      <c r="D41" s="54"/>
      <c r="E41" s="54"/>
      <c r="F41" s="53"/>
      <c r="G41" s="53"/>
      <c r="H41" s="53"/>
      <c r="I41" s="85"/>
      <c r="J41" s="53"/>
      <c r="K41" s="53"/>
    </row>
    <row r="42" spans="1:11" ht="18" customHeight="1" x14ac:dyDescent="0.25">
      <c r="A42" s="53"/>
      <c r="B42" s="1998" t="s">
        <v>2103</v>
      </c>
      <c r="C42" s="1999"/>
      <c r="D42" s="1999"/>
      <c r="E42" s="1999"/>
      <c r="F42" s="1999"/>
      <c r="G42" s="1080" t="s">
        <v>2101</v>
      </c>
      <c r="H42" s="2000" t="s">
        <v>2102</v>
      </c>
      <c r="I42" s="2001"/>
      <c r="J42" s="53"/>
      <c r="K42" s="53"/>
    </row>
    <row r="43" spans="1:11" ht="27" customHeight="1" x14ac:dyDescent="0.25">
      <c r="A43" s="53"/>
      <c r="B43" s="2041" t="s">
        <v>1357</v>
      </c>
      <c r="C43" s="2042"/>
      <c r="D43" s="2042"/>
      <c r="E43" s="2042"/>
      <c r="F43" s="2043"/>
      <c r="G43" s="518" t="s">
        <v>129</v>
      </c>
      <c r="H43" s="1730"/>
      <c r="I43" s="1729"/>
      <c r="J43" s="53"/>
      <c r="K43" s="53"/>
    </row>
    <row r="44" spans="1:11" ht="27" customHeight="1" x14ac:dyDescent="0.25">
      <c r="A44" s="53"/>
      <c r="B44" s="2041" t="s">
        <v>1358</v>
      </c>
      <c r="C44" s="2042"/>
      <c r="D44" s="2042"/>
      <c r="E44" s="2042"/>
      <c r="F44" s="2043"/>
      <c r="G44" s="868" t="s">
        <v>129</v>
      </c>
      <c r="H44" s="1730"/>
      <c r="I44" s="1729"/>
      <c r="J44" s="53"/>
      <c r="K44" s="53"/>
    </row>
    <row r="45" spans="1:11" ht="18" customHeight="1" x14ac:dyDescent="0.25">
      <c r="A45" s="53"/>
      <c r="B45" s="54"/>
      <c r="C45" s="54"/>
      <c r="D45" s="54"/>
      <c r="E45" s="54"/>
      <c r="F45" s="53"/>
      <c r="G45" s="53"/>
      <c r="H45" s="53"/>
      <c r="I45" s="85"/>
      <c r="J45" s="85"/>
      <c r="K45" s="85"/>
    </row>
    <row r="46" spans="1:11" ht="18" customHeight="1" x14ac:dyDescent="0.25">
      <c r="A46" s="275" t="s">
        <v>25</v>
      </c>
      <c r="B46" s="9"/>
      <c r="C46" s="9"/>
      <c r="D46" s="9"/>
      <c r="E46" s="9"/>
      <c r="F46" s="9"/>
      <c r="G46" s="9"/>
      <c r="H46" s="9"/>
      <c r="I46" s="9"/>
      <c r="J46" s="9"/>
      <c r="K46" s="9"/>
    </row>
    <row r="47" spans="1:11" x14ac:dyDescent="0.25">
      <c r="A47" s="53"/>
      <c r="B47" s="54"/>
      <c r="C47" s="54"/>
      <c r="D47" s="54"/>
      <c r="E47" s="54"/>
      <c r="F47" s="53"/>
      <c r="G47" s="53"/>
      <c r="H47" s="53"/>
      <c r="I47" s="53"/>
      <c r="J47" s="53"/>
      <c r="K47" s="53"/>
    </row>
    <row r="48" spans="1:11" ht="18" customHeight="1" x14ac:dyDescent="0.25">
      <c r="A48" s="53"/>
      <c r="B48" s="264" t="s">
        <v>56</v>
      </c>
      <c r="C48" s="12">
        <f>IF(D38="Yes",1,0)</f>
        <v>0</v>
      </c>
      <c r="D48" s="54"/>
      <c r="E48" s="53"/>
      <c r="F48" s="53"/>
      <c r="G48" s="53"/>
      <c r="H48" s="53"/>
      <c r="I48" s="53"/>
      <c r="J48" s="53"/>
      <c r="K48" s="53"/>
    </row>
    <row r="49" spans="1:11" ht="18" customHeight="1" x14ac:dyDescent="0.25">
      <c r="A49" s="53"/>
      <c r="B49" s="264" t="s">
        <v>521</v>
      </c>
      <c r="C49" s="203" t="str">
        <f>IF(AND(G43="Submitted",C48&gt;0),IF(L25=FALSE,"Yes",IF(G44="Submitted","Yes","No")),"No")</f>
        <v>No</v>
      </c>
      <c r="D49" s="53"/>
      <c r="E49" s="53"/>
      <c r="F49" s="53"/>
      <c r="G49" s="53"/>
      <c r="H49" s="53"/>
      <c r="I49" s="53"/>
      <c r="J49" s="53"/>
      <c r="K49" s="53"/>
    </row>
    <row r="50" spans="1:11" ht="21" customHeight="1" x14ac:dyDescent="0.25">
      <c r="A50" s="53"/>
      <c r="B50" s="54"/>
      <c r="C50" s="54"/>
      <c r="D50" s="54"/>
      <c r="E50" s="54"/>
      <c r="F50" s="53"/>
      <c r="G50" s="53"/>
      <c r="H50" s="53"/>
      <c r="I50" s="53"/>
      <c r="J50" s="53"/>
      <c r="K50" s="53"/>
    </row>
    <row r="51" spans="1:11" hidden="1" x14ac:dyDescent="0.25">
      <c r="A51" s="53"/>
      <c r="B51" s="54"/>
      <c r="C51" s="54"/>
      <c r="D51" s="54"/>
      <c r="E51" s="54"/>
      <c r="F51" s="53"/>
      <c r="G51" s="53"/>
      <c r="H51" s="53"/>
      <c r="I51" s="53"/>
    </row>
    <row r="52" spans="1:11" hidden="1" x14ac:dyDescent="0.25"/>
    <row r="53" spans="1:11" ht="15" hidden="1" customHeight="1" x14ac:dyDescent="0.25"/>
    <row r="54" spans="1:11" ht="15" hidden="1" customHeight="1" x14ac:dyDescent="0.25"/>
    <row r="55" spans="1:11" ht="15" hidden="1" customHeight="1" x14ac:dyDescent="0.25"/>
    <row r="56" spans="1:11" ht="15" hidden="1" customHeight="1" x14ac:dyDescent="0.25"/>
  </sheetData>
  <sheetProtection algorithmName="SHA-512" hashValue="GuHXJz+0yT5qdo1KCOrvaPk1vlwmofmEb0ujeuw5fit2pnioPdLX4xct9m5YswVrS9kIzxpl8B4a1AQ/9tqLcQ==" saltValue="DcbRekFlsFmaoo71MCWC1Q==" spinCount="100000" sheet="1" objects="1" scenarios="1"/>
  <mergeCells count="28">
    <mergeCell ref="B27:H27"/>
    <mergeCell ref="B32:E32"/>
    <mergeCell ref="B38:C38"/>
    <mergeCell ref="B24:E24"/>
    <mergeCell ref="G34:H34"/>
    <mergeCell ref="G35:H35"/>
    <mergeCell ref="G32:H32"/>
    <mergeCell ref="G33:H33"/>
    <mergeCell ref="G36:H36"/>
    <mergeCell ref="B31:E31"/>
    <mergeCell ref="G31:H31"/>
    <mergeCell ref="B33:E33"/>
    <mergeCell ref="A1:K1"/>
    <mergeCell ref="B22:F22"/>
    <mergeCell ref="B11:E11"/>
    <mergeCell ref="B12:E12"/>
    <mergeCell ref="B25:E25"/>
    <mergeCell ref="G2:H4"/>
    <mergeCell ref="A5:K7"/>
    <mergeCell ref="H44:I44"/>
    <mergeCell ref="B44:F44"/>
    <mergeCell ref="B34:E34"/>
    <mergeCell ref="B35:E35"/>
    <mergeCell ref="B36:E36"/>
    <mergeCell ref="B43:F43"/>
    <mergeCell ref="B42:F42"/>
    <mergeCell ref="H42:I42"/>
    <mergeCell ref="H43:I43"/>
  </mergeCells>
  <conditionalFormatting sqref="G43:G44">
    <cfRule type="expression" dxfId="44" priority="3">
      <formula>#REF!&lt;&gt;"Prescriptive Path"</formula>
    </cfRule>
  </conditionalFormatting>
  <conditionalFormatting sqref="H42:I42">
    <cfRule type="expression" dxfId="43" priority="2">
      <formula>#REF!&lt;&gt;"Prescriptive Path"</formula>
    </cfRule>
  </conditionalFormatting>
  <conditionalFormatting sqref="H43:H44">
    <cfRule type="expression" dxfId="42" priority="1">
      <formula>#REF!&lt;&gt;"Prescriptive Path"</formula>
    </cfRule>
  </conditionalFormatting>
  <dataValidations count="2">
    <dataValidation type="list" allowBlank="1" showInputMessage="1" showErrorMessage="1" sqref="F32:F36 F24:F25">
      <formula1>"Select,Yes,No"</formula1>
    </dataValidation>
    <dataValidation type="list" allowBlank="1" showInputMessage="1" showErrorMessage="1" sqref="G43:G44">
      <formula1>"Select,Submitted,Not submitted"</formula1>
    </dataValidation>
  </dataValidations>
  <hyperlinks>
    <hyperlink ref="I3" location="'LE-2 Site design'!B3" tooltip="LE-2" display="LE-2"/>
    <hyperlink ref="I4" location="'LE-3 Vegetation'!D3" tooltip="LE-3" display="LE-3"/>
    <hyperlink ref="J2" location="'LE-4 Heat Island Effect'!E3" tooltip="LE-4" display="LE-4"/>
    <hyperlink ref="J3" location="'LE-5 Storm Water Runoff'!E3" tooltip="LE-5" display="LE-5"/>
    <hyperlink ref="K2" location="'LE-8 Waste Management'!E3" tooltip="LE-8" display="LE-8"/>
    <hyperlink ref="K3" location="'LE BPC'!E3" tooltip="BPC" display="BPC"/>
    <hyperlink ref="J4" location="'LE-7 Refrigerants'!E3" tooltip="LE-7" display="LE-7"/>
    <hyperlink ref="I2" location="'LE-1 Site Selection'!B3" tooltip="LE-1" display="LE-1"/>
  </hyperlinks>
  <pageMargins left="0.7" right="0.7" top="0.75" bottom="0.75" header="0.3" footer="0.3"/>
  <pageSetup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rgb="FF76923C"/>
  </sheetPr>
  <dimension ref="A1:N41"/>
  <sheetViews>
    <sheetView showRowColHeaders="0" workbookViewId="0">
      <pane ySplit="8" topLeftCell="A9" activePane="bottomLeft" state="frozen"/>
      <selection activeCell="M21" sqref="M21"/>
      <selection pane="bottomLeft" activeCell="A9" sqref="A9"/>
    </sheetView>
  </sheetViews>
  <sheetFormatPr defaultColWidth="0" defaultRowHeight="15" zeroHeight="1" x14ac:dyDescent="0.25"/>
  <cols>
    <col min="1" max="1" width="4.7109375" style="42" customWidth="1"/>
    <col min="2" max="5" width="18.42578125" style="42" customWidth="1"/>
    <col min="6" max="8" width="18.7109375" style="42" customWidth="1"/>
    <col min="9" max="11" width="8.7109375" style="42" customWidth="1"/>
    <col min="12" max="16384" width="9.140625" style="42" hidden="1"/>
  </cols>
  <sheetData>
    <row r="1" spans="1:14" ht="24" customHeight="1" x14ac:dyDescent="0.25">
      <c r="A1" s="1975" t="s">
        <v>119</v>
      </c>
      <c r="B1" s="1975"/>
      <c r="C1" s="1975"/>
      <c r="D1" s="1975"/>
      <c r="E1" s="1975"/>
      <c r="F1" s="1975"/>
      <c r="G1" s="1975"/>
      <c r="H1" s="1975"/>
      <c r="I1" s="1975"/>
      <c r="J1" s="1975"/>
      <c r="K1" s="1975"/>
      <c r="L1" s="1975"/>
      <c r="M1" s="1975"/>
    </row>
    <row r="2" spans="1:14" ht="15" customHeight="1" x14ac:dyDescent="0.25">
      <c r="A2" s="53"/>
      <c r="B2" s="54"/>
      <c r="C2" s="54"/>
      <c r="D2" s="54"/>
      <c r="E2" s="54"/>
      <c r="F2" s="53"/>
      <c r="G2" s="1426" t="s">
        <v>2108</v>
      </c>
      <c r="H2" s="1426"/>
      <c r="I2" s="258" t="s">
        <v>60</v>
      </c>
      <c r="J2" s="258" t="s">
        <v>72</v>
      </c>
      <c r="K2" s="258" t="s">
        <v>160</v>
      </c>
    </row>
    <row r="3" spans="1:14" ht="15" customHeight="1" x14ac:dyDescent="0.25">
      <c r="A3" s="53"/>
      <c r="B3" s="54"/>
      <c r="C3" s="54"/>
      <c r="D3" s="54"/>
      <c r="E3" s="54"/>
      <c r="F3" s="53"/>
      <c r="G3" s="1426"/>
      <c r="H3" s="1426"/>
      <c r="I3" s="258" t="s">
        <v>64</v>
      </c>
      <c r="J3" s="258" t="s">
        <v>76</v>
      </c>
      <c r="K3" s="258" t="s">
        <v>79</v>
      </c>
    </row>
    <row r="4" spans="1:14" ht="15" customHeight="1" x14ac:dyDescent="0.25">
      <c r="A4" s="53"/>
      <c r="B4" s="54"/>
      <c r="C4" s="54"/>
      <c r="D4" s="54"/>
      <c r="E4" s="54"/>
      <c r="F4" s="53"/>
      <c r="G4" s="1652"/>
      <c r="H4" s="1652"/>
      <c r="I4" s="258" t="s">
        <v>68</v>
      </c>
      <c r="J4" s="258" t="s">
        <v>80</v>
      </c>
      <c r="K4" s="240"/>
    </row>
    <row r="5" spans="1:14" ht="18" customHeight="1" x14ac:dyDescent="0.25">
      <c r="A5" s="1417" t="s">
        <v>2430</v>
      </c>
      <c r="B5" s="1418"/>
      <c r="C5" s="1418"/>
      <c r="D5" s="1418"/>
      <c r="E5" s="1418"/>
      <c r="F5" s="1418"/>
      <c r="G5" s="1418"/>
      <c r="H5" s="1418"/>
      <c r="I5" s="1418"/>
      <c r="J5" s="1418"/>
      <c r="K5" s="1418"/>
      <c r="L5" s="193"/>
      <c r="M5" s="193"/>
      <c r="N5" s="194"/>
    </row>
    <row r="6" spans="1:14" ht="18" customHeight="1" x14ac:dyDescent="0.25">
      <c r="A6" s="1420"/>
      <c r="B6" s="1421"/>
      <c r="C6" s="1421"/>
      <c r="D6" s="1421"/>
      <c r="E6" s="1421"/>
      <c r="F6" s="1421"/>
      <c r="G6" s="1421"/>
      <c r="H6" s="1421"/>
      <c r="I6" s="1421"/>
      <c r="J6" s="1421"/>
      <c r="K6" s="1421"/>
      <c r="L6" s="195"/>
      <c r="M6" s="195"/>
      <c r="N6" s="196"/>
    </row>
    <row r="7" spans="1:14" ht="18" customHeight="1" x14ac:dyDescent="0.25">
      <c r="A7" s="1423"/>
      <c r="B7" s="1424"/>
      <c r="C7" s="1424"/>
      <c r="D7" s="1424"/>
      <c r="E7" s="1424"/>
      <c r="F7" s="1424"/>
      <c r="G7" s="1424"/>
      <c r="H7" s="1424"/>
      <c r="I7" s="1424"/>
      <c r="J7" s="1424"/>
      <c r="K7" s="1424"/>
      <c r="L7" s="197"/>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275" t="s">
        <v>191</v>
      </c>
      <c r="B9" s="9"/>
      <c r="C9" s="9"/>
      <c r="D9" s="9"/>
      <c r="E9" s="9"/>
      <c r="F9" s="9"/>
      <c r="G9" s="9"/>
      <c r="H9" s="9"/>
      <c r="I9" s="9"/>
      <c r="J9" s="9"/>
      <c r="K9" s="9"/>
    </row>
    <row r="10" spans="1:14" ht="16.5" customHeight="1" x14ac:dyDescent="0.25">
      <c r="A10" s="53"/>
      <c r="B10" s="54"/>
      <c r="C10" s="54"/>
      <c r="D10" s="54"/>
      <c r="E10" s="54"/>
      <c r="F10" s="53"/>
      <c r="G10" s="53"/>
      <c r="H10" s="53"/>
      <c r="I10" s="53"/>
      <c r="J10" s="53"/>
      <c r="K10" s="53"/>
    </row>
    <row r="11" spans="1:14" ht="19.5" customHeight="1" x14ac:dyDescent="0.25">
      <c r="A11" s="53"/>
      <c r="B11" s="1984" t="s">
        <v>192</v>
      </c>
      <c r="C11" s="1985"/>
      <c r="D11" s="1985"/>
      <c r="E11" s="1985"/>
      <c r="F11" s="715" t="s">
        <v>157</v>
      </c>
      <c r="G11" s="715" t="s">
        <v>56</v>
      </c>
      <c r="H11" s="60" t="s">
        <v>521</v>
      </c>
      <c r="I11" s="53"/>
      <c r="J11" s="53"/>
      <c r="K11" s="53"/>
    </row>
    <row r="12" spans="1:14" ht="39.75" customHeight="1" x14ac:dyDescent="0.25">
      <c r="A12" s="53"/>
      <c r="B12" s="1430" t="s">
        <v>1059</v>
      </c>
      <c r="C12" s="1431"/>
      <c r="D12" s="1431"/>
      <c r="E12" s="1973"/>
      <c r="F12" s="59">
        <v>1</v>
      </c>
      <c r="G12" s="59">
        <f>C36</f>
        <v>0</v>
      </c>
      <c r="H12" s="59" t="str">
        <f>C37</f>
        <v>No</v>
      </c>
      <c r="I12" s="53"/>
      <c r="J12" s="53"/>
      <c r="K12" s="53"/>
    </row>
    <row r="13" spans="1:14" ht="16.5" customHeight="1" x14ac:dyDescent="0.25">
      <c r="A13" s="53"/>
      <c r="B13" s="54"/>
      <c r="C13" s="54"/>
      <c r="D13" s="54"/>
      <c r="E13" s="54"/>
      <c r="F13" s="53"/>
      <c r="G13" s="53"/>
      <c r="H13" s="53"/>
      <c r="I13" s="53"/>
      <c r="J13" s="53"/>
      <c r="K13" s="53"/>
    </row>
    <row r="14" spans="1:14" ht="18" customHeight="1" x14ac:dyDescent="0.25">
      <c r="A14" s="275" t="s">
        <v>265</v>
      </c>
      <c r="B14" s="9"/>
      <c r="C14" s="9"/>
      <c r="D14" s="9"/>
      <c r="E14" s="9"/>
      <c r="F14" s="9"/>
      <c r="G14" s="9"/>
      <c r="H14" s="9"/>
      <c r="I14" s="9"/>
      <c r="J14" s="9"/>
      <c r="K14" s="9"/>
    </row>
    <row r="15" spans="1:14" ht="13.5" customHeight="1" x14ac:dyDescent="0.25">
      <c r="A15" s="53"/>
      <c r="B15" s="53"/>
      <c r="C15" s="53"/>
      <c r="D15" s="53"/>
      <c r="E15" s="53"/>
      <c r="F15" s="53"/>
      <c r="G15" s="53"/>
      <c r="H15" s="53"/>
      <c r="I15" s="53"/>
      <c r="J15" s="53"/>
      <c r="K15" s="53"/>
    </row>
    <row r="16" spans="1:14" ht="15.75" customHeight="1" x14ac:dyDescent="0.25">
      <c r="A16" s="53"/>
      <c r="B16" s="718" t="s">
        <v>1362</v>
      </c>
      <c r="C16" s="53"/>
      <c r="D16" s="53"/>
      <c r="E16" s="53"/>
      <c r="F16" s="53"/>
      <c r="G16" s="53"/>
      <c r="H16" s="53"/>
      <c r="I16" s="53"/>
      <c r="J16" s="53"/>
      <c r="K16" s="53"/>
    </row>
    <row r="17" spans="1:13" ht="19.5" customHeight="1" x14ac:dyDescent="0.25">
      <c r="A17" s="53"/>
      <c r="B17" s="53"/>
      <c r="C17" s="53"/>
      <c r="D17" s="53"/>
      <c r="E17" s="53"/>
      <c r="F17" s="53"/>
      <c r="G17" s="53"/>
      <c r="H17" s="53"/>
      <c r="I17" s="53"/>
      <c r="J17" s="53"/>
      <c r="K17" s="53"/>
    </row>
    <row r="18" spans="1:13" ht="15.75" customHeight="1" x14ac:dyDescent="0.25">
      <c r="A18" s="53"/>
      <c r="B18" s="720" t="s">
        <v>1673</v>
      </c>
      <c r="C18" s="53"/>
      <c r="D18" s="53"/>
      <c r="E18" s="53"/>
      <c r="F18" s="53"/>
      <c r="G18" s="53"/>
      <c r="H18" s="53"/>
      <c r="I18" s="53"/>
      <c r="J18" s="53"/>
      <c r="K18" s="53"/>
    </row>
    <row r="19" spans="1:13" ht="17.25" customHeight="1" x14ac:dyDescent="0.25">
      <c r="A19" s="53"/>
      <c r="B19" s="53"/>
      <c r="C19" s="53"/>
      <c r="D19" s="53"/>
      <c r="E19" s="53"/>
      <c r="F19" s="53"/>
      <c r="G19" s="53"/>
      <c r="H19" s="53"/>
      <c r="I19" s="53"/>
      <c r="J19" s="53"/>
      <c r="K19" s="53"/>
    </row>
    <row r="20" spans="1:13" x14ac:dyDescent="0.25">
      <c r="A20" s="53"/>
      <c r="B20" s="717" t="s">
        <v>1294</v>
      </c>
      <c r="C20" s="53"/>
      <c r="D20" s="53"/>
      <c r="E20" s="53"/>
      <c r="F20" s="53"/>
      <c r="G20" s="53"/>
      <c r="H20" s="53"/>
      <c r="I20" s="53"/>
      <c r="J20" s="53"/>
      <c r="K20" s="53"/>
    </row>
    <row r="21" spans="1:13" ht="9" customHeight="1" x14ac:dyDescent="0.25">
      <c r="A21" s="53"/>
      <c r="B21" s="2049"/>
      <c r="C21" s="2049"/>
      <c r="D21" s="2049"/>
      <c r="E21" s="2049"/>
      <c r="F21" s="2049"/>
      <c r="G21" s="53"/>
      <c r="H21" s="53"/>
      <c r="I21" s="53"/>
      <c r="J21" s="53"/>
      <c r="K21" s="53"/>
    </row>
    <row r="22" spans="1:13" ht="19.5" customHeight="1" x14ac:dyDescent="0.25">
      <c r="A22" s="53"/>
      <c r="B22" s="1524" t="str">
        <f>IF('Project information'!C7="Certification stage","• Has a system or equipment using R22 been installed?","• Will a system or equipment using R22 be installed?")</f>
        <v>• Will a system or equipment using R22 be installed?</v>
      </c>
      <c r="C22" s="1524"/>
      <c r="D22" s="1524"/>
      <c r="E22" s="1524"/>
      <c r="F22" s="1191" t="s">
        <v>129</v>
      </c>
      <c r="G22" s="53"/>
      <c r="H22" s="53"/>
      <c r="I22" s="53"/>
      <c r="J22" s="53"/>
      <c r="K22" s="53"/>
      <c r="L22" s="87" t="b">
        <v>0</v>
      </c>
      <c r="M22" s="87" t="b">
        <v>0</v>
      </c>
    </row>
    <row r="23" spans="1:13" ht="19.5" customHeight="1" x14ac:dyDescent="0.25">
      <c r="A23" s="53"/>
      <c r="B23" s="1524" t="str">
        <f>IF('Project information'!C7="Certification stage","• Are the installed refrigerators/freezers using natural refrigerants?","• Will the refrigerators/freezers to be installed use natural refrigerants?")</f>
        <v>• Will the refrigerators/freezers to be installed use natural refrigerants?</v>
      </c>
      <c r="C23" s="1524"/>
      <c r="D23" s="1524"/>
      <c r="E23" s="1524"/>
      <c r="F23" s="1191" t="s">
        <v>129</v>
      </c>
      <c r="G23" s="85" t="s">
        <v>966</v>
      </c>
      <c r="H23" s="518"/>
      <c r="I23" s="53"/>
      <c r="J23" s="53"/>
      <c r="K23" s="53"/>
      <c r="L23" s="87" t="b">
        <v>0</v>
      </c>
    </row>
    <row r="24" spans="1:13" ht="19.5" customHeight="1" x14ac:dyDescent="0.25">
      <c r="A24" s="53"/>
      <c r="B24" s="1524" t="str">
        <f>IF('Project information'!C7="Certification stage","• Are the installed refrigerators/freezers re-used from a previous project?","• Will the refrigerators/freezers to be installed be re-used from a previous project?")</f>
        <v>• Will the refrigerators/freezers to be installed be re-used from a previous project?</v>
      </c>
      <c r="C24" s="1524"/>
      <c r="D24" s="1524"/>
      <c r="E24" s="1524"/>
      <c r="F24" s="1191" t="s">
        <v>129</v>
      </c>
      <c r="G24" s="53"/>
      <c r="H24" s="53"/>
      <c r="I24" s="53"/>
      <c r="J24" s="53"/>
      <c r="K24" s="53"/>
      <c r="L24" s="87" t="b">
        <v>0</v>
      </c>
    </row>
    <row r="25" spans="1:13" x14ac:dyDescent="0.25">
      <c r="A25" s="53"/>
      <c r="B25" s="54"/>
      <c r="C25" s="54"/>
      <c r="D25" s="54"/>
      <c r="E25" s="54"/>
      <c r="F25" s="53"/>
      <c r="G25" s="53"/>
      <c r="H25" s="53"/>
      <c r="I25" s="85"/>
      <c r="J25" s="85"/>
      <c r="K25" s="85"/>
    </row>
    <row r="26" spans="1:13" ht="18" customHeight="1" x14ac:dyDescent="0.25">
      <c r="A26" s="53"/>
      <c r="B26" s="2005" t="s">
        <v>1363</v>
      </c>
      <c r="C26" s="2007"/>
      <c r="D26" s="415" t="str">
        <f>IF(AND(F22="No",OR(F23="Yes",F24="Yes")),"Yes","No")</f>
        <v>No</v>
      </c>
      <c r="E26" s="54"/>
      <c r="F26" s="53"/>
      <c r="G26" s="53"/>
      <c r="H26" s="53"/>
      <c r="I26" s="85"/>
      <c r="J26" s="85"/>
      <c r="K26" s="85"/>
    </row>
    <row r="27" spans="1:13" x14ac:dyDescent="0.25">
      <c r="A27" s="53"/>
      <c r="B27" s="54"/>
      <c r="C27" s="54"/>
      <c r="D27" s="54"/>
      <c r="E27" s="54"/>
      <c r="F27" s="53"/>
      <c r="G27" s="53"/>
      <c r="H27" s="53"/>
      <c r="I27" s="85"/>
      <c r="J27" s="85"/>
      <c r="K27" s="85"/>
    </row>
    <row r="28" spans="1:13" ht="18" customHeight="1" x14ac:dyDescent="0.25">
      <c r="A28" s="275" t="s">
        <v>200</v>
      </c>
      <c r="B28" s="9"/>
      <c r="C28" s="9"/>
      <c r="D28" s="9"/>
      <c r="E28" s="9"/>
      <c r="F28" s="9"/>
      <c r="G28" s="9"/>
      <c r="H28" s="9"/>
      <c r="I28" s="9"/>
      <c r="J28" s="9"/>
      <c r="K28" s="9"/>
    </row>
    <row r="29" spans="1:13" x14ac:dyDescent="0.25">
      <c r="A29" s="53"/>
      <c r="B29" s="54"/>
      <c r="C29" s="54"/>
      <c r="D29" s="54"/>
      <c r="E29" s="54"/>
      <c r="F29" s="53"/>
      <c r="G29" s="53"/>
      <c r="H29" s="53"/>
      <c r="I29" s="85"/>
      <c r="J29" s="85"/>
      <c r="K29" s="85"/>
    </row>
    <row r="30" spans="1:13" ht="18" customHeight="1" x14ac:dyDescent="0.25">
      <c r="A30" s="53"/>
      <c r="B30" s="1998" t="s">
        <v>2103</v>
      </c>
      <c r="C30" s="1999"/>
      <c r="D30" s="1999"/>
      <c r="E30" s="1999"/>
      <c r="F30" s="1999"/>
      <c r="G30" s="1080" t="s">
        <v>2101</v>
      </c>
      <c r="H30" s="2000" t="s">
        <v>2102</v>
      </c>
      <c r="I30" s="2001"/>
      <c r="J30" s="53"/>
      <c r="K30" s="53"/>
      <c r="L30" s="53"/>
      <c r="M30" s="53"/>
    </row>
    <row r="31" spans="1:13" ht="27.75" customHeight="1" x14ac:dyDescent="0.25">
      <c r="A31" s="53"/>
      <c r="B31" s="1436" t="s">
        <v>1340</v>
      </c>
      <c r="C31" s="1437"/>
      <c r="D31" s="1437"/>
      <c r="E31" s="1437"/>
      <c r="F31" s="1438"/>
      <c r="G31" s="518" t="s">
        <v>129</v>
      </c>
      <c r="H31" s="1730"/>
      <c r="I31" s="1729"/>
      <c r="J31" s="53"/>
      <c r="K31" s="53"/>
      <c r="L31" s="53"/>
      <c r="M31" s="53"/>
    </row>
    <row r="32" spans="1:13" ht="24" customHeight="1" x14ac:dyDescent="0.25">
      <c r="A32" s="53"/>
      <c r="B32" s="1436" t="s">
        <v>1341</v>
      </c>
      <c r="C32" s="1437"/>
      <c r="D32" s="1437"/>
      <c r="E32" s="1437"/>
      <c r="F32" s="1438"/>
      <c r="G32" s="565" t="s">
        <v>129</v>
      </c>
      <c r="H32" s="1730"/>
      <c r="I32" s="1729"/>
      <c r="J32" s="53"/>
      <c r="K32" s="53"/>
      <c r="L32" s="53"/>
      <c r="M32" s="53"/>
    </row>
    <row r="33" spans="1:11" ht="18.75" customHeight="1" x14ac:dyDescent="0.25">
      <c r="A33" s="53"/>
      <c r="B33" s="54"/>
      <c r="C33" s="54"/>
      <c r="D33" s="54"/>
      <c r="E33" s="54"/>
      <c r="F33" s="53"/>
      <c r="G33" s="53"/>
      <c r="H33" s="53"/>
      <c r="I33" s="85"/>
      <c r="J33" s="85"/>
      <c r="K33" s="85"/>
    </row>
    <row r="34" spans="1:11" ht="18" customHeight="1" x14ac:dyDescent="0.25">
      <c r="A34" s="275" t="s">
        <v>25</v>
      </c>
      <c r="B34" s="9"/>
      <c r="C34" s="9"/>
      <c r="D34" s="9"/>
      <c r="E34" s="9"/>
      <c r="F34" s="9"/>
      <c r="G34" s="9"/>
      <c r="H34" s="9"/>
      <c r="I34" s="9"/>
      <c r="J34" s="9"/>
      <c r="K34" s="9"/>
    </row>
    <row r="35" spans="1:11" x14ac:dyDescent="0.25">
      <c r="A35" s="53"/>
      <c r="B35" s="54"/>
      <c r="C35" s="54"/>
      <c r="D35" s="54"/>
      <c r="E35" s="54"/>
      <c r="F35" s="53"/>
      <c r="G35" s="53"/>
      <c r="H35" s="53"/>
      <c r="I35" s="53"/>
      <c r="J35" s="53"/>
      <c r="K35" s="53"/>
    </row>
    <row r="36" spans="1:11" ht="18" customHeight="1" x14ac:dyDescent="0.25">
      <c r="A36" s="53"/>
      <c r="B36" s="264" t="s">
        <v>56</v>
      </c>
      <c r="C36" s="12">
        <f>IF(D26="Yes",1,0)</f>
        <v>0</v>
      </c>
      <c r="D36" s="54"/>
      <c r="E36" s="53"/>
      <c r="F36" s="53"/>
      <c r="G36" s="53"/>
      <c r="H36" s="53"/>
      <c r="I36" s="53"/>
      <c r="J36" s="53"/>
      <c r="K36" s="53"/>
    </row>
    <row r="37" spans="1:11" ht="18" customHeight="1" x14ac:dyDescent="0.25">
      <c r="A37" s="53"/>
      <c r="B37" s="264" t="s">
        <v>521</v>
      </c>
      <c r="C37" s="203" t="str">
        <f>IF(AND(COUNTIF(G31:G31,"Submitted")=1,C36&gt;0),"Yes","No")</f>
        <v>No</v>
      </c>
      <c r="D37" s="54"/>
      <c r="E37" s="53"/>
      <c r="F37" s="53"/>
      <c r="G37" s="53"/>
      <c r="H37" s="53"/>
      <c r="I37" s="53"/>
      <c r="J37" s="53"/>
      <c r="K37" s="53"/>
    </row>
    <row r="38" spans="1:11" ht="18" customHeight="1" x14ac:dyDescent="0.25">
      <c r="A38" s="53"/>
      <c r="B38" s="54"/>
      <c r="C38" s="54"/>
      <c r="D38" s="54"/>
      <c r="E38" s="54"/>
      <c r="F38" s="53"/>
      <c r="G38" s="53"/>
      <c r="H38" s="53"/>
      <c r="I38" s="53"/>
      <c r="J38" s="53"/>
      <c r="K38" s="53"/>
    </row>
    <row r="39" spans="1:11" hidden="1" x14ac:dyDescent="0.25">
      <c r="A39" s="53"/>
      <c r="B39" s="54"/>
      <c r="C39" s="54"/>
      <c r="D39" s="54"/>
      <c r="E39" s="54"/>
      <c r="F39" s="53"/>
      <c r="G39" s="53"/>
      <c r="H39" s="53"/>
      <c r="I39" s="53"/>
      <c r="J39" s="53"/>
      <c r="K39" s="53"/>
    </row>
    <row r="40" spans="1:11" hidden="1" x14ac:dyDescent="0.25"/>
    <row r="41" spans="1:11" hidden="1" x14ac:dyDescent="0.25"/>
  </sheetData>
  <sheetProtection algorithmName="SHA-512" hashValue="A3z++D2Ob2GNTN+VOIgLMN3NTozDbJv/s9rfSX65mCBAaQgs7gZCzwAxuIf7CLBVQkEkVFGwv/9rw/EaWHF7GQ==" saltValue="iovZZb8jItqStwzr1l4y2g==" spinCount="100000" sheet="1" objects="1" scenarios="1"/>
  <mergeCells count="16">
    <mergeCell ref="A1:M1"/>
    <mergeCell ref="G2:H4"/>
    <mergeCell ref="B21:F21"/>
    <mergeCell ref="A5:K7"/>
    <mergeCell ref="B22:E22"/>
    <mergeCell ref="B11:E11"/>
    <mergeCell ref="B12:E12"/>
    <mergeCell ref="H32:I32"/>
    <mergeCell ref="B23:E23"/>
    <mergeCell ref="B32:F32"/>
    <mergeCell ref="B24:E24"/>
    <mergeCell ref="B31:F31"/>
    <mergeCell ref="B26:C26"/>
    <mergeCell ref="B30:F30"/>
    <mergeCell ref="H30:I30"/>
    <mergeCell ref="H31:I31"/>
  </mergeCells>
  <conditionalFormatting sqref="G31">
    <cfRule type="expression" dxfId="41" priority="4">
      <formula>#REF!&lt;&gt;"Prescriptive Path"</formula>
    </cfRule>
  </conditionalFormatting>
  <conditionalFormatting sqref="G32">
    <cfRule type="expression" dxfId="40" priority="3">
      <formula>#REF!&lt;&gt;"Prescriptive Path"</formula>
    </cfRule>
  </conditionalFormatting>
  <conditionalFormatting sqref="H30:I30">
    <cfRule type="expression" dxfId="39" priority="2">
      <formula>#REF!&lt;&gt;"Prescriptive Path"</formula>
    </cfRule>
  </conditionalFormatting>
  <conditionalFormatting sqref="H31:H32">
    <cfRule type="expression" dxfId="38" priority="1">
      <formula>#REF!&lt;&gt;"Prescriptive Path"</formula>
    </cfRule>
  </conditionalFormatting>
  <dataValidations count="3">
    <dataValidation type="whole" allowBlank="1" showInputMessage="1" showErrorMessage="1" sqref="G12">
      <formula1>0</formula1>
      <formula2>F12</formula2>
    </dataValidation>
    <dataValidation type="list" allowBlank="1" showInputMessage="1" showErrorMessage="1" sqref="G31:G32">
      <formula1>"Submitted,Not submitted"</formula1>
    </dataValidation>
    <dataValidation type="list" allowBlank="1" showInputMessage="1" showErrorMessage="1" sqref="F22:F24">
      <formula1>"Select,Yes,No"</formula1>
    </dataValidation>
  </dataValidations>
  <hyperlinks>
    <hyperlink ref="I3" location="'LE-2 Site design'!B3" tooltip="LE-2" display="LE-2"/>
    <hyperlink ref="I4" location="'LE-3 Vegetation'!D3" tooltip="LE-3" display="LE-3"/>
    <hyperlink ref="J2" location="'LE-4 Heat Island Effect'!E3" tooltip="LE-4" display="LE-4"/>
    <hyperlink ref="J3" location="'LE-5 Storm Water Runoff'!E3" tooltip="LE-5" display="LE-5"/>
    <hyperlink ref="K2" location="'LE-8 Waste Management'!E3" tooltip="LE-8" display="LE-8"/>
    <hyperlink ref="K3" location="'LE BPC'!E3" tooltip="BPC" display="BPC"/>
    <hyperlink ref="J4" location="'LE-6 Flood Risk Mitigation'!E3" tooltip="LE-6" display="LE-6"/>
    <hyperlink ref="I2" location="'LE-1 Site Selection'!B3" tooltip="LE-1" display="LE-1"/>
  </hyperlinks>
  <pageMargins left="0.7" right="0.7" top="0.75" bottom="0.75" header="0.3" footer="0.3"/>
  <pageSetup orientation="portrait"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6923C"/>
  </sheetPr>
  <dimension ref="A1:N37"/>
  <sheetViews>
    <sheetView showRowColHeaders="0" workbookViewId="0">
      <pane ySplit="8" topLeftCell="A9" activePane="bottomLeft" state="frozen"/>
      <selection activeCell="M21" sqref="M21"/>
      <selection pane="bottomLeft" activeCell="F20" sqref="F20"/>
    </sheetView>
  </sheetViews>
  <sheetFormatPr defaultColWidth="0" defaultRowHeight="15" customHeight="1" zeroHeight="1" x14ac:dyDescent="0.25"/>
  <cols>
    <col min="1" max="1" width="4.7109375" style="42" customWidth="1"/>
    <col min="2" max="5" width="18.42578125" style="42" customWidth="1"/>
    <col min="6" max="8" width="18.7109375" style="42" customWidth="1"/>
    <col min="9" max="11" width="8.7109375" style="42" customWidth="1"/>
    <col min="12" max="16384" width="9.140625" style="42" hidden="1"/>
  </cols>
  <sheetData>
    <row r="1" spans="1:14" ht="23.25" x14ac:dyDescent="0.25">
      <c r="A1" s="1975" t="s">
        <v>162</v>
      </c>
      <c r="B1" s="1975"/>
      <c r="C1" s="1975"/>
      <c r="D1" s="1975"/>
      <c r="E1" s="1975"/>
      <c r="F1" s="1975"/>
      <c r="G1" s="1975"/>
      <c r="H1" s="1975"/>
      <c r="I1" s="1975"/>
      <c r="J1" s="1975"/>
      <c r="K1" s="1975"/>
      <c r="L1" s="1975"/>
      <c r="M1" s="1975"/>
    </row>
    <row r="2" spans="1:14" ht="15" customHeight="1" x14ac:dyDescent="0.25">
      <c r="A2" s="53"/>
      <c r="B2" s="54"/>
      <c r="C2" s="54"/>
      <c r="D2" s="54"/>
      <c r="E2" s="54"/>
      <c r="F2" s="53"/>
      <c r="G2" s="1426" t="s">
        <v>2108</v>
      </c>
      <c r="H2" s="1426"/>
      <c r="I2" s="258" t="s">
        <v>60</v>
      </c>
      <c r="J2" s="258" t="s">
        <v>72</v>
      </c>
      <c r="K2" s="258" t="s">
        <v>131</v>
      </c>
    </row>
    <row r="3" spans="1:14" ht="15" customHeight="1" x14ac:dyDescent="0.25">
      <c r="A3" s="53"/>
      <c r="B3" s="54"/>
      <c r="C3" s="54"/>
      <c r="D3" s="54"/>
      <c r="E3" s="54"/>
      <c r="F3" s="53"/>
      <c r="G3" s="1426"/>
      <c r="H3" s="1426"/>
      <c r="I3" s="258" t="s">
        <v>64</v>
      </c>
      <c r="J3" s="258" t="s">
        <v>76</v>
      </c>
      <c r="K3" s="258" t="s">
        <v>79</v>
      </c>
    </row>
    <row r="4" spans="1:14" ht="15" customHeight="1" x14ac:dyDescent="0.25">
      <c r="A4" s="53"/>
      <c r="B4" s="54"/>
      <c r="C4" s="54"/>
      <c r="D4" s="54"/>
      <c r="E4" s="54"/>
      <c r="F4" s="53"/>
      <c r="G4" s="1652"/>
      <c r="H4" s="1652"/>
      <c r="I4" s="258" t="s">
        <v>68</v>
      </c>
      <c r="J4" s="258" t="s">
        <v>80</v>
      </c>
      <c r="K4" s="240"/>
    </row>
    <row r="5" spans="1:14" ht="18" customHeight="1" x14ac:dyDescent="0.25">
      <c r="A5" s="1417" t="s">
        <v>2431</v>
      </c>
      <c r="B5" s="1418"/>
      <c r="C5" s="1418"/>
      <c r="D5" s="1418"/>
      <c r="E5" s="1418"/>
      <c r="F5" s="1418"/>
      <c r="G5" s="1418"/>
      <c r="H5" s="1418"/>
      <c r="I5" s="1418"/>
      <c r="J5" s="1418"/>
      <c r="K5" s="1418"/>
      <c r="L5" s="193"/>
      <c r="M5" s="193"/>
      <c r="N5" s="194"/>
    </row>
    <row r="6" spans="1:14" ht="18" customHeight="1" x14ac:dyDescent="0.25">
      <c r="A6" s="1420"/>
      <c r="B6" s="1421"/>
      <c r="C6" s="1421"/>
      <c r="D6" s="1421"/>
      <c r="E6" s="1421"/>
      <c r="F6" s="1421"/>
      <c r="G6" s="1421"/>
      <c r="H6" s="1421"/>
      <c r="I6" s="1421"/>
      <c r="J6" s="1421"/>
      <c r="K6" s="1421"/>
      <c r="L6" s="195"/>
      <c r="M6" s="195"/>
      <c r="N6" s="196"/>
    </row>
    <row r="7" spans="1:14" ht="18" customHeight="1" x14ac:dyDescent="0.25">
      <c r="A7" s="1423"/>
      <c r="B7" s="1424"/>
      <c r="C7" s="1424"/>
      <c r="D7" s="1424"/>
      <c r="E7" s="1424"/>
      <c r="F7" s="1424"/>
      <c r="G7" s="1424"/>
      <c r="H7" s="1424"/>
      <c r="I7" s="1424"/>
      <c r="J7" s="1424"/>
      <c r="K7" s="1424"/>
      <c r="L7" s="197"/>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275" t="s">
        <v>191</v>
      </c>
      <c r="B9" s="9"/>
      <c r="C9" s="9"/>
      <c r="D9" s="9"/>
      <c r="E9" s="9"/>
      <c r="F9" s="9"/>
      <c r="G9" s="9"/>
      <c r="H9" s="9"/>
      <c r="I9" s="9"/>
      <c r="J9" s="9"/>
      <c r="K9" s="9"/>
    </row>
    <row r="10" spans="1:14" ht="16.5" customHeight="1" x14ac:dyDescent="0.25">
      <c r="A10" s="53"/>
      <c r="B10" s="54"/>
      <c r="C10" s="54"/>
      <c r="D10" s="54"/>
      <c r="E10" s="54"/>
      <c r="F10" s="53"/>
      <c r="G10" s="53"/>
      <c r="H10" s="53"/>
      <c r="I10" s="53"/>
      <c r="J10" s="53"/>
      <c r="K10" s="53"/>
    </row>
    <row r="11" spans="1:14" ht="19.5" customHeight="1" x14ac:dyDescent="0.25">
      <c r="A11" s="53"/>
      <c r="B11" s="1984" t="s">
        <v>192</v>
      </c>
      <c r="C11" s="1985"/>
      <c r="D11" s="1985"/>
      <c r="E11" s="1985"/>
      <c r="F11" s="715" t="s">
        <v>157</v>
      </c>
      <c r="G11" s="715" t="s">
        <v>56</v>
      </c>
      <c r="H11" s="60" t="s">
        <v>521</v>
      </c>
      <c r="I11" s="53"/>
      <c r="J11" s="53"/>
      <c r="K11" s="53"/>
    </row>
    <row r="12" spans="1:14" ht="21" customHeight="1" x14ac:dyDescent="0.25">
      <c r="A12" s="53"/>
      <c r="B12" s="1430" t="s">
        <v>163</v>
      </c>
      <c r="C12" s="1431"/>
      <c r="D12" s="1431"/>
      <c r="E12" s="1973"/>
      <c r="F12" s="59">
        <v>1</v>
      </c>
      <c r="G12" s="59">
        <f>C33</f>
        <v>0</v>
      </c>
      <c r="H12" s="59" t="str">
        <f>C34</f>
        <v>No</v>
      </c>
      <c r="I12" s="88"/>
      <c r="J12" s="88"/>
      <c r="K12" s="53"/>
    </row>
    <row r="13" spans="1:14" ht="16.5" customHeight="1" x14ac:dyDescent="0.25">
      <c r="A13" s="53"/>
      <c r="B13" s="54"/>
      <c r="C13" s="54"/>
      <c r="D13" s="54"/>
      <c r="E13" s="54"/>
      <c r="F13" s="53"/>
      <c r="G13" s="53"/>
      <c r="H13" s="53"/>
      <c r="I13" s="53"/>
      <c r="J13" s="53"/>
      <c r="K13" s="53"/>
    </row>
    <row r="14" spans="1:14" ht="18" customHeight="1" x14ac:dyDescent="0.25">
      <c r="A14" s="275" t="s">
        <v>265</v>
      </c>
      <c r="B14" s="9"/>
      <c r="C14" s="9"/>
      <c r="D14" s="9"/>
      <c r="E14" s="9"/>
      <c r="F14" s="9"/>
      <c r="G14" s="9"/>
      <c r="H14" s="9"/>
      <c r="I14" s="9"/>
      <c r="J14" s="9"/>
      <c r="K14" s="9"/>
    </row>
    <row r="15" spans="1:14" x14ac:dyDescent="0.25">
      <c r="A15" s="53"/>
      <c r="B15" s="54"/>
      <c r="C15" s="54"/>
      <c r="D15" s="54"/>
      <c r="E15" s="54"/>
      <c r="F15" s="54"/>
      <c r="G15" s="53"/>
      <c r="H15" s="53"/>
      <c r="I15" s="53"/>
      <c r="J15" s="53"/>
      <c r="K15" s="53"/>
    </row>
    <row r="16" spans="1:14" x14ac:dyDescent="0.25">
      <c r="A16" s="53"/>
      <c r="B16" s="649" t="s">
        <v>1010</v>
      </c>
      <c r="C16" s="54"/>
      <c r="D16" s="54"/>
      <c r="E16" s="54"/>
      <c r="F16" s="54"/>
      <c r="G16" s="53"/>
      <c r="H16" s="53"/>
      <c r="I16" s="53"/>
      <c r="J16" s="53"/>
      <c r="K16" s="53"/>
    </row>
    <row r="17" spans="1:13" ht="18" customHeight="1" x14ac:dyDescent="0.25">
      <c r="A17" s="53"/>
      <c r="B17" s="54"/>
      <c r="C17" s="54"/>
      <c r="D17" s="54"/>
      <c r="E17" s="54"/>
      <c r="F17" s="54"/>
      <c r="G17" s="53"/>
      <c r="H17" s="53"/>
      <c r="I17" s="53"/>
      <c r="J17" s="53"/>
      <c r="K17" s="53"/>
    </row>
    <row r="18" spans="1:13" x14ac:dyDescent="0.25">
      <c r="A18" s="53"/>
      <c r="B18" s="1411" t="s">
        <v>1294</v>
      </c>
      <c r="C18" s="1411"/>
      <c r="D18" s="1411"/>
      <c r="E18" s="1411"/>
      <c r="F18" s="1411"/>
      <c r="G18" s="53"/>
      <c r="H18" s="53"/>
      <c r="I18" s="53"/>
      <c r="J18" s="53"/>
      <c r="K18" s="53"/>
    </row>
    <row r="19" spans="1:13" ht="9" customHeight="1" x14ac:dyDescent="0.25">
      <c r="A19" s="53"/>
      <c r="B19" s="674"/>
      <c r="C19" s="674"/>
      <c r="D19" s="674"/>
      <c r="E19" s="674"/>
      <c r="F19" s="674"/>
      <c r="G19" s="53"/>
      <c r="H19" s="53"/>
      <c r="I19" s="53"/>
      <c r="J19" s="53"/>
      <c r="K19" s="53"/>
    </row>
    <row r="20" spans="1:13" ht="19.5" customHeight="1" x14ac:dyDescent="0.25">
      <c r="A20" s="53"/>
      <c r="B20" s="2050" t="str">
        <f>IF('Project information'!C7="Certification stage","• Have a bin been provided for recyclables?","• Will a bin be provided for recyclables?")</f>
        <v>• Will a bin be provided for recyclables?</v>
      </c>
      <c r="C20" s="2050"/>
      <c r="D20" s="2050"/>
      <c r="E20" s="2050"/>
      <c r="F20" s="1191" t="s">
        <v>129</v>
      </c>
      <c r="G20" s="53"/>
      <c r="H20" s="53"/>
      <c r="I20" s="53"/>
      <c r="J20" s="53"/>
      <c r="K20" s="53"/>
      <c r="L20" s="87" t="b">
        <v>0</v>
      </c>
      <c r="M20" s="87" t="b">
        <v>0</v>
      </c>
    </row>
    <row r="21" spans="1:13" ht="19.5" customHeight="1" x14ac:dyDescent="0.25">
      <c r="A21" s="53"/>
      <c r="B21" s="2050" t="str">
        <f>IF('Project information'!C7="Certification stage","• Have a bin been provided for organic wastes?","• Will a bin be provided for organic wastes?")</f>
        <v>• Will a bin be provided for organic wastes?</v>
      </c>
      <c r="C21" s="2050"/>
      <c r="D21" s="2050"/>
      <c r="E21" s="2050"/>
      <c r="F21" s="1191" t="s">
        <v>129</v>
      </c>
      <c r="G21" s="53"/>
      <c r="H21" s="53"/>
      <c r="I21" s="53"/>
      <c r="J21" s="53"/>
      <c r="K21" s="53"/>
      <c r="L21" s="87" t="b">
        <v>0</v>
      </c>
      <c r="M21" s="87" t="b">
        <v>0</v>
      </c>
    </row>
    <row r="22" spans="1:13" ht="19.5" customHeight="1" x14ac:dyDescent="0.25">
      <c r="A22" s="53"/>
      <c r="B22" s="2050" t="str">
        <f>IF('Project information'!C7="Certification stage","• Have a bin been provided for garbage?","• Will a bin be provided for organic garbage?")</f>
        <v>• Will a bin be provided for organic garbage?</v>
      </c>
      <c r="C22" s="2050"/>
      <c r="D22" s="2050"/>
      <c r="E22" s="2050"/>
      <c r="F22" s="1191" t="s">
        <v>129</v>
      </c>
      <c r="G22" s="53"/>
      <c r="H22" s="53"/>
      <c r="I22" s="53"/>
      <c r="J22" s="53"/>
      <c r="K22" s="53"/>
      <c r="L22" s="87" t="b">
        <v>0</v>
      </c>
      <c r="M22" s="87" t="b">
        <v>0</v>
      </c>
    </row>
    <row r="23" spans="1:13" x14ac:dyDescent="0.25">
      <c r="A23" s="53"/>
      <c r="B23" s="54"/>
      <c r="C23" s="54"/>
      <c r="D23" s="54"/>
      <c r="E23" s="54"/>
      <c r="F23" s="53"/>
      <c r="G23" s="53"/>
      <c r="H23" s="53"/>
      <c r="I23" s="53"/>
      <c r="J23" s="53"/>
      <c r="K23" s="85"/>
    </row>
    <row r="24" spans="1:13" ht="18" customHeight="1" x14ac:dyDescent="0.25">
      <c r="A24" s="53"/>
      <c r="B24" s="2047" t="s">
        <v>603</v>
      </c>
      <c r="C24" s="2047"/>
      <c r="D24" s="285" t="str">
        <f>IF(AND(F20="Yes",F21="Yes",F22="Yes"),"Yes","No")</f>
        <v>No</v>
      </c>
      <c r="E24" s="54"/>
      <c r="F24" s="53"/>
      <c r="G24" s="53"/>
      <c r="H24" s="53"/>
      <c r="I24" s="53"/>
      <c r="J24" s="53"/>
      <c r="K24" s="85"/>
    </row>
    <row r="25" spans="1:13" x14ac:dyDescent="0.25">
      <c r="A25" s="53"/>
      <c r="B25" s="54"/>
      <c r="C25" s="54"/>
      <c r="D25" s="54"/>
      <c r="E25" s="54"/>
      <c r="F25" s="53"/>
      <c r="G25" s="53"/>
      <c r="H25" s="53"/>
      <c r="I25" s="53"/>
      <c r="J25" s="53"/>
      <c r="K25" s="85"/>
    </row>
    <row r="26" spans="1:13" ht="18" customHeight="1" x14ac:dyDescent="0.25">
      <c r="A26" s="275" t="s">
        <v>200</v>
      </c>
      <c r="B26" s="9"/>
      <c r="C26" s="9"/>
      <c r="D26" s="9"/>
      <c r="E26" s="9"/>
      <c r="F26" s="9"/>
      <c r="G26" s="9"/>
      <c r="H26" s="9"/>
      <c r="I26" s="9"/>
      <c r="J26" s="9"/>
      <c r="K26" s="9"/>
    </row>
    <row r="27" spans="1:13" x14ac:dyDescent="0.25">
      <c r="A27" s="53"/>
      <c r="B27" s="54"/>
      <c r="C27" s="54"/>
      <c r="D27" s="54"/>
      <c r="E27" s="54"/>
      <c r="F27" s="53"/>
      <c r="G27" s="53"/>
      <c r="H27" s="53"/>
      <c r="I27" s="53"/>
      <c r="J27" s="53"/>
      <c r="K27" s="85"/>
    </row>
    <row r="28" spans="1:13" ht="18" customHeight="1" x14ac:dyDescent="0.25">
      <c r="A28" s="53"/>
      <c r="B28" s="1998" t="s">
        <v>2103</v>
      </c>
      <c r="C28" s="1999"/>
      <c r="D28" s="1999"/>
      <c r="E28" s="1999"/>
      <c r="F28" s="1999"/>
      <c r="G28" s="1080" t="s">
        <v>2101</v>
      </c>
      <c r="H28" s="2000" t="s">
        <v>2102</v>
      </c>
      <c r="I28" s="2001"/>
      <c r="J28" s="53"/>
      <c r="K28" s="53"/>
      <c r="L28" s="53"/>
      <c r="M28" s="53"/>
    </row>
    <row r="29" spans="1:13" ht="29.25" customHeight="1" x14ac:dyDescent="0.25">
      <c r="A29" s="53"/>
      <c r="B29" s="1436" t="s">
        <v>1342</v>
      </c>
      <c r="C29" s="1437"/>
      <c r="D29" s="1437"/>
      <c r="E29" s="1437"/>
      <c r="F29" s="1438"/>
      <c r="G29" s="518" t="s">
        <v>129</v>
      </c>
      <c r="H29" s="1730"/>
      <c r="I29" s="1729"/>
      <c r="J29" s="53"/>
      <c r="K29" s="53"/>
      <c r="L29" s="53"/>
      <c r="M29" s="53"/>
    </row>
    <row r="30" spans="1:13" ht="16.5" customHeight="1" x14ac:dyDescent="0.25">
      <c r="A30" s="53"/>
      <c r="B30" s="54"/>
      <c r="C30" s="54"/>
      <c r="D30" s="54"/>
      <c r="E30" s="54"/>
      <c r="F30" s="53"/>
      <c r="G30" s="53"/>
      <c r="H30" s="53"/>
      <c r="I30" s="53"/>
      <c r="J30" s="53"/>
      <c r="K30" s="85"/>
    </row>
    <row r="31" spans="1:13" ht="18" customHeight="1" x14ac:dyDescent="0.25">
      <c r="A31" s="275" t="s">
        <v>25</v>
      </c>
      <c r="B31" s="9"/>
      <c r="C31" s="9"/>
      <c r="D31" s="9"/>
      <c r="E31" s="9"/>
      <c r="F31" s="9"/>
      <c r="G31" s="9"/>
      <c r="H31" s="9"/>
      <c r="I31" s="9"/>
      <c r="J31" s="9"/>
      <c r="K31" s="9"/>
    </row>
    <row r="32" spans="1:13" x14ac:dyDescent="0.25">
      <c r="A32" s="53"/>
      <c r="B32" s="54"/>
      <c r="C32" s="54"/>
      <c r="D32" s="54"/>
      <c r="E32" s="54"/>
      <c r="F32" s="53"/>
      <c r="G32" s="53"/>
      <c r="H32" s="53"/>
      <c r="I32" s="53"/>
      <c r="J32" s="53"/>
      <c r="K32" s="53"/>
    </row>
    <row r="33" spans="1:11" ht="18" customHeight="1" x14ac:dyDescent="0.25">
      <c r="A33" s="53"/>
      <c r="B33" s="264" t="s">
        <v>56</v>
      </c>
      <c r="C33" s="12">
        <f>IF(D24="Yes",1,0)</f>
        <v>0</v>
      </c>
      <c r="D33" s="53"/>
      <c r="E33" s="53"/>
      <c r="F33" s="53"/>
      <c r="G33" s="53"/>
      <c r="H33" s="53"/>
      <c r="I33" s="53"/>
      <c r="J33" s="53"/>
      <c r="K33" s="53"/>
    </row>
    <row r="34" spans="1:11" ht="18" customHeight="1" x14ac:dyDescent="0.25">
      <c r="A34" s="53"/>
      <c r="B34" s="264" t="s">
        <v>521</v>
      </c>
      <c r="C34" s="203" t="str">
        <f>IF(AND(G29="Submitted",C33&gt;0),"Yes","No")</f>
        <v>No</v>
      </c>
      <c r="D34" s="53"/>
      <c r="E34" s="53"/>
      <c r="F34" s="53"/>
      <c r="G34" s="53"/>
      <c r="H34" s="53"/>
      <c r="I34" s="53"/>
      <c r="J34" s="53"/>
      <c r="K34" s="53"/>
    </row>
    <row r="35" spans="1:11" x14ac:dyDescent="0.25">
      <c r="A35" s="53"/>
      <c r="B35" s="54"/>
      <c r="C35" s="54"/>
      <c r="D35" s="54"/>
      <c r="E35" s="54"/>
      <c r="F35" s="53"/>
      <c r="G35" s="53"/>
      <c r="H35" s="53"/>
      <c r="I35" s="53"/>
      <c r="J35" s="53"/>
      <c r="K35" s="53"/>
    </row>
    <row r="36" spans="1:11" hidden="1" x14ac:dyDescent="0.25">
      <c r="A36" s="53"/>
      <c r="B36" s="54"/>
      <c r="C36" s="54"/>
      <c r="D36" s="54"/>
      <c r="E36" s="54"/>
      <c r="F36" s="53"/>
      <c r="G36" s="53"/>
      <c r="H36" s="53"/>
      <c r="I36" s="53"/>
      <c r="J36" s="53"/>
      <c r="K36" s="53"/>
    </row>
    <row r="37" spans="1:11" hidden="1" x14ac:dyDescent="0.25"/>
  </sheetData>
  <sheetProtection algorithmName="SHA-512" hashValue="b8Ldo9BEI1vVyVX5iPb/r/uDNqnDsfRG1QTYCXBy5L7g2XGpSDHgMNeJN1bP5zJE4g7leUg6XehhUAKlMNEFYg==" saltValue="G1eAJly9x+vrsycmyxkyyg==" spinCount="100000" sheet="1" objects="1" scenarios="1"/>
  <mergeCells count="14">
    <mergeCell ref="A1:M1"/>
    <mergeCell ref="B29:F29"/>
    <mergeCell ref="G2:H4"/>
    <mergeCell ref="A5:K7"/>
    <mergeCell ref="B18:F18"/>
    <mergeCell ref="B24:C24"/>
    <mergeCell ref="B11:E11"/>
    <mergeCell ref="B12:E12"/>
    <mergeCell ref="B20:E20"/>
    <mergeCell ref="B21:E21"/>
    <mergeCell ref="B22:E22"/>
    <mergeCell ref="B28:F28"/>
    <mergeCell ref="H28:I28"/>
    <mergeCell ref="H29:I29"/>
  </mergeCells>
  <conditionalFormatting sqref="G29">
    <cfRule type="expression" dxfId="37" priority="3">
      <formula>#REF!&lt;&gt;"Prescriptive Path"</formula>
    </cfRule>
  </conditionalFormatting>
  <conditionalFormatting sqref="H28:I28">
    <cfRule type="expression" dxfId="36" priority="2">
      <formula>#REF!&lt;&gt;"Prescriptive Path"</formula>
    </cfRule>
  </conditionalFormatting>
  <conditionalFormatting sqref="H29">
    <cfRule type="expression" dxfId="35" priority="1">
      <formula>#REF!&lt;&gt;"Prescriptive Path"</formula>
    </cfRule>
  </conditionalFormatting>
  <dataValidations count="3">
    <dataValidation type="whole" allowBlank="1" showInputMessage="1" showErrorMessage="1" sqref="G12">
      <formula1>0</formula1>
      <formula2>F12</formula2>
    </dataValidation>
    <dataValidation type="list" allowBlank="1" showInputMessage="1" showErrorMessage="1" sqref="G29">
      <formula1>"Submitted,Not submitted"</formula1>
    </dataValidation>
    <dataValidation type="list" allowBlank="1" showInputMessage="1" showErrorMessage="1" sqref="F20:F22">
      <formula1>"Select,Yes,No"</formula1>
    </dataValidation>
  </dataValidations>
  <hyperlinks>
    <hyperlink ref="I3" location="'LE-2 Site design'!B3" tooltip="LE-2" display="LE-2"/>
    <hyperlink ref="I4" location="'LE-3 Vegetation'!D3" tooltip="LE-3" display="LE-3"/>
    <hyperlink ref="J2" location="'LE-4 Heat Island Effect'!E3" tooltip="LE-4" display="LE-4"/>
    <hyperlink ref="J3" location="'LE-5 Storm Water Runoff'!E3" tooltip="LE-5" display="LE-5"/>
    <hyperlink ref="J4" location="'LE-6 Flood Risk Mitigation'!E3" tooltip="LE-6" display="LE-6"/>
    <hyperlink ref="K2" location="'LE-7 Refrigerants'!E3" tooltip="LE-7" display="LE-7"/>
    <hyperlink ref="K3" location="'LE BPC'!E3" tooltip="BPC" display="BPC"/>
    <hyperlink ref="I2" location="'LE-1 Site Selection'!B3" tooltip="LE-1" display="LE-1"/>
  </hyperlinks>
  <pageMargins left="0.7" right="0.7" top="0.75" bottom="0.75" header="0.3" footer="0.3"/>
  <pageSetup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6923C"/>
  </sheetPr>
  <dimension ref="A1:N50"/>
  <sheetViews>
    <sheetView showRowColHeaders="0" workbookViewId="0">
      <pane ySplit="8" topLeftCell="A9" activePane="bottomLeft" state="frozen"/>
      <selection activeCell="M21" sqref="M21"/>
      <selection pane="bottomLeft" activeCell="A9" sqref="A9:K9"/>
    </sheetView>
  </sheetViews>
  <sheetFormatPr defaultColWidth="0" defaultRowHeight="15" customHeight="1" zeroHeight="1" x14ac:dyDescent="0.25"/>
  <cols>
    <col min="1" max="1" width="5.7109375" style="42" customWidth="1"/>
    <col min="2" max="7" width="18.42578125" style="42" customWidth="1"/>
    <col min="8" max="8" width="20.5703125" style="42" customWidth="1"/>
    <col min="9" max="11" width="8.7109375" style="42" customWidth="1"/>
    <col min="12" max="16384" width="9.140625" style="42" hidden="1"/>
  </cols>
  <sheetData>
    <row r="1" spans="1:14" ht="23.25" x14ac:dyDescent="0.25">
      <c r="A1" s="1975" t="s">
        <v>686</v>
      </c>
      <c r="B1" s="1975"/>
      <c r="C1" s="1975"/>
      <c r="D1" s="1975"/>
      <c r="E1" s="1975"/>
      <c r="F1" s="1975"/>
      <c r="G1" s="1975"/>
      <c r="H1" s="1975"/>
      <c r="I1" s="1975"/>
      <c r="J1" s="1975"/>
      <c r="K1" s="1975"/>
      <c r="L1" s="1975"/>
      <c r="M1" s="1975"/>
    </row>
    <row r="2" spans="1:14" ht="15" customHeight="1" x14ac:dyDescent="0.25">
      <c r="A2" s="53"/>
      <c r="B2" s="54"/>
      <c r="C2" s="54"/>
      <c r="D2" s="54"/>
      <c r="E2" s="54"/>
      <c r="F2" s="53"/>
      <c r="G2" s="1426" t="s">
        <v>2108</v>
      </c>
      <c r="H2" s="1426"/>
      <c r="I2" s="258" t="s">
        <v>60</v>
      </c>
      <c r="J2" s="258" t="s">
        <v>72</v>
      </c>
      <c r="K2" s="258" t="s">
        <v>131</v>
      </c>
    </row>
    <row r="3" spans="1:14" ht="15" customHeight="1" x14ac:dyDescent="0.25">
      <c r="A3" s="53"/>
      <c r="B3" s="54"/>
      <c r="C3" s="54"/>
      <c r="D3" s="54"/>
      <c r="E3" s="54"/>
      <c r="F3" s="53"/>
      <c r="G3" s="1426"/>
      <c r="H3" s="1426"/>
      <c r="I3" s="258" t="s">
        <v>64</v>
      </c>
      <c r="J3" s="258" t="s">
        <v>76</v>
      </c>
      <c r="K3" s="258" t="s">
        <v>160</v>
      </c>
    </row>
    <row r="4" spans="1:14" ht="15" customHeight="1" x14ac:dyDescent="0.25">
      <c r="A4" s="53"/>
      <c r="B4" s="54"/>
      <c r="C4" s="54"/>
      <c r="D4" s="54"/>
      <c r="E4" s="54"/>
      <c r="F4" s="53"/>
      <c r="G4" s="1652"/>
      <c r="H4" s="1652"/>
      <c r="I4" s="258" t="s">
        <v>68</v>
      </c>
      <c r="J4" s="258" t="s">
        <v>80</v>
      </c>
      <c r="K4" s="240"/>
    </row>
    <row r="5" spans="1:14" ht="18" customHeight="1" x14ac:dyDescent="0.25">
      <c r="A5" s="1417" t="s">
        <v>2432</v>
      </c>
      <c r="B5" s="1418"/>
      <c r="C5" s="1418"/>
      <c r="D5" s="1418"/>
      <c r="E5" s="1418"/>
      <c r="F5" s="1418"/>
      <c r="G5" s="1418"/>
      <c r="H5" s="1418"/>
      <c r="I5" s="1418"/>
      <c r="J5" s="1418"/>
      <c r="K5" s="1418"/>
      <c r="L5" s="193"/>
      <c r="M5" s="193"/>
      <c r="N5" s="194"/>
    </row>
    <row r="6" spans="1:14" ht="18" customHeight="1" x14ac:dyDescent="0.25">
      <c r="A6" s="1420"/>
      <c r="B6" s="1421"/>
      <c r="C6" s="1421"/>
      <c r="D6" s="1421"/>
      <c r="E6" s="1421"/>
      <c r="F6" s="1421"/>
      <c r="G6" s="1421"/>
      <c r="H6" s="1421"/>
      <c r="I6" s="1421"/>
      <c r="J6" s="1421"/>
      <c r="K6" s="1421"/>
      <c r="L6" s="195"/>
      <c r="M6" s="195"/>
      <c r="N6" s="196"/>
    </row>
    <row r="7" spans="1:14" ht="18" customHeight="1" x14ac:dyDescent="0.25">
      <c r="A7" s="1423"/>
      <c r="B7" s="1424"/>
      <c r="C7" s="1424"/>
      <c r="D7" s="1424"/>
      <c r="E7" s="1424"/>
      <c r="F7" s="1424"/>
      <c r="G7" s="1424"/>
      <c r="H7" s="1424"/>
      <c r="I7" s="1424"/>
      <c r="J7" s="1424"/>
      <c r="K7" s="1424"/>
      <c r="L7" s="197"/>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1974" t="s">
        <v>191</v>
      </c>
      <c r="B9" s="1974"/>
      <c r="C9" s="1974"/>
      <c r="D9" s="1974"/>
      <c r="E9" s="1974"/>
      <c r="F9" s="1974"/>
      <c r="G9" s="1974"/>
      <c r="H9" s="1974"/>
      <c r="I9" s="1974"/>
      <c r="J9" s="1974"/>
      <c r="K9" s="1974"/>
    </row>
    <row r="10" spans="1:14" ht="16.5" customHeight="1" x14ac:dyDescent="0.25">
      <c r="A10" s="53"/>
      <c r="B10" s="54"/>
      <c r="C10" s="54"/>
      <c r="D10" s="54"/>
      <c r="E10" s="54"/>
      <c r="F10" s="53"/>
      <c r="G10" s="53"/>
      <c r="H10" s="53"/>
      <c r="I10" s="53"/>
      <c r="J10" s="53"/>
      <c r="K10" s="53"/>
    </row>
    <row r="11" spans="1:14" ht="19.5" customHeight="1" x14ac:dyDescent="0.25">
      <c r="A11" s="53"/>
      <c r="B11" s="2053" t="s">
        <v>192</v>
      </c>
      <c r="C11" s="2054"/>
      <c r="D11" s="2054"/>
      <c r="E11" s="2054"/>
      <c r="F11" s="715" t="s">
        <v>157</v>
      </c>
      <c r="G11" s="715" t="s">
        <v>56</v>
      </c>
      <c r="H11" s="60" t="s">
        <v>521</v>
      </c>
      <c r="I11" s="53"/>
      <c r="J11" s="53"/>
      <c r="K11" s="53"/>
    </row>
    <row r="12" spans="1:14" ht="21" customHeight="1" x14ac:dyDescent="0.25">
      <c r="A12" s="53"/>
      <c r="B12" s="2055" t="s">
        <v>687</v>
      </c>
      <c r="C12" s="2056"/>
      <c r="D12" s="2056"/>
      <c r="E12" s="2057"/>
      <c r="F12" s="324">
        <v>1</v>
      </c>
      <c r="G12" s="324">
        <f>C43</f>
        <v>0</v>
      </c>
      <c r="H12" s="324" t="str">
        <f>C44</f>
        <v>No</v>
      </c>
      <c r="I12" s="88"/>
      <c r="J12" s="88"/>
      <c r="K12" s="53"/>
    </row>
    <row r="13" spans="1:14" ht="16.5" customHeight="1" x14ac:dyDescent="0.25">
      <c r="A13" s="53"/>
      <c r="B13" s="54"/>
      <c r="C13" s="54"/>
      <c r="D13" s="54"/>
      <c r="E13" s="54"/>
      <c r="F13" s="53"/>
      <c r="G13" s="53"/>
      <c r="H13" s="53"/>
      <c r="I13" s="53"/>
      <c r="J13" s="53"/>
      <c r="K13" s="53"/>
    </row>
    <row r="14" spans="1:14" ht="18" customHeight="1" x14ac:dyDescent="0.25">
      <c r="A14" s="1974" t="s">
        <v>265</v>
      </c>
      <c r="B14" s="1974"/>
      <c r="C14" s="1974"/>
      <c r="D14" s="1974"/>
      <c r="E14" s="1974"/>
      <c r="F14" s="1974"/>
      <c r="G14" s="1974"/>
      <c r="H14" s="1974"/>
      <c r="I14" s="1974"/>
      <c r="J14" s="1974"/>
      <c r="K14" s="1974"/>
    </row>
    <row r="15" spans="1:14" x14ac:dyDescent="0.25">
      <c r="A15" s="53"/>
      <c r="B15" s="54"/>
      <c r="C15" s="54"/>
      <c r="D15" s="54"/>
      <c r="E15" s="54"/>
      <c r="F15" s="54"/>
      <c r="G15" s="53"/>
      <c r="H15" s="53"/>
      <c r="I15" s="53"/>
      <c r="J15" s="53"/>
      <c r="K15" s="53"/>
    </row>
    <row r="16" spans="1:14" x14ac:dyDescent="0.25">
      <c r="A16" s="53"/>
      <c r="B16" s="1645" t="s">
        <v>1343</v>
      </c>
      <c r="C16" s="1645"/>
      <c r="D16" s="1645"/>
      <c r="E16" s="1645"/>
      <c r="F16" s="1645"/>
      <c r="G16" s="53"/>
      <c r="H16" s="53"/>
      <c r="I16" s="53"/>
      <c r="J16" s="53"/>
      <c r="K16" s="53"/>
    </row>
    <row r="17" spans="1:13" x14ac:dyDescent="0.25">
      <c r="A17" s="53"/>
      <c r="B17" s="323"/>
      <c r="C17" s="323"/>
      <c r="D17" s="323"/>
      <c r="E17" s="323"/>
      <c r="F17" s="323"/>
      <c r="G17" s="53"/>
      <c r="H17" s="53"/>
      <c r="I17" s="53"/>
      <c r="J17" s="53"/>
      <c r="K17" s="53"/>
    </row>
    <row r="18" spans="1:13" x14ac:dyDescent="0.25">
      <c r="A18" s="53"/>
      <c r="B18" s="308" t="s">
        <v>677</v>
      </c>
      <c r="C18" s="332"/>
      <c r="D18" s="332"/>
      <c r="E18" s="323"/>
      <c r="F18" s="323"/>
      <c r="G18" s="53"/>
      <c r="H18" s="53"/>
      <c r="I18" s="53"/>
      <c r="J18" s="53"/>
      <c r="K18" s="53"/>
    </row>
    <row r="19" spans="1:13" x14ac:dyDescent="0.25">
      <c r="A19" s="53"/>
      <c r="B19" s="308" t="s">
        <v>678</v>
      </c>
      <c r="C19" s="323"/>
      <c r="D19" s="323"/>
      <c r="E19" s="323"/>
      <c r="F19" s="323"/>
      <c r="G19" s="53"/>
      <c r="H19" s="53"/>
      <c r="I19" s="53"/>
      <c r="J19" s="53"/>
      <c r="K19" s="53"/>
    </row>
    <row r="20" spans="1:13" x14ac:dyDescent="0.25">
      <c r="A20" s="53"/>
      <c r="B20" s="308" t="s">
        <v>679</v>
      </c>
      <c r="C20" s="323"/>
      <c r="D20" s="323"/>
      <c r="E20" s="323"/>
      <c r="F20" s="323"/>
      <c r="G20" s="53"/>
      <c r="H20" s="53"/>
      <c r="I20" s="53"/>
      <c r="J20" s="53"/>
      <c r="K20" s="53"/>
    </row>
    <row r="21" spans="1:13" x14ac:dyDescent="0.25">
      <c r="A21" s="53"/>
      <c r="B21" s="308" t="s">
        <v>680</v>
      </c>
      <c r="C21" s="323"/>
      <c r="D21" s="323"/>
      <c r="E21" s="323"/>
      <c r="F21" s="323"/>
      <c r="G21" s="53"/>
      <c r="H21" s="53"/>
      <c r="I21" s="53"/>
      <c r="J21" s="53"/>
      <c r="K21" s="53"/>
    </row>
    <row r="22" spans="1:13" x14ac:dyDescent="0.25">
      <c r="A22" s="53"/>
      <c r="B22" s="308" t="s">
        <v>681</v>
      </c>
      <c r="C22" s="323"/>
      <c r="D22" s="323"/>
      <c r="E22" s="323"/>
      <c r="F22" s="323"/>
      <c r="G22" s="53"/>
      <c r="H22" s="53"/>
      <c r="I22" s="53"/>
      <c r="J22" s="53"/>
      <c r="K22" s="53"/>
    </row>
    <row r="23" spans="1:13" x14ac:dyDescent="0.25">
      <c r="A23" s="53"/>
      <c r="B23" s="308" t="s">
        <v>682</v>
      </c>
      <c r="C23" s="323"/>
      <c r="D23" s="323"/>
      <c r="E23" s="323"/>
      <c r="F23" s="323"/>
      <c r="G23" s="53"/>
      <c r="H23" s="53"/>
      <c r="I23" s="53"/>
      <c r="J23" s="53"/>
      <c r="K23" s="53"/>
    </row>
    <row r="24" spans="1:13" ht="24.75" customHeight="1" x14ac:dyDescent="0.25">
      <c r="A24" s="53"/>
      <c r="B24" s="2004" t="s">
        <v>684</v>
      </c>
      <c r="C24" s="2004"/>
      <c r="D24" s="2004"/>
      <c r="E24" s="2004"/>
      <c r="F24" s="2004"/>
      <c r="G24" s="2004"/>
      <c r="H24" s="2004"/>
      <c r="I24" s="2004"/>
      <c r="J24" s="2004"/>
      <c r="K24" s="53"/>
    </row>
    <row r="25" spans="1:13" ht="25.5" customHeight="1" x14ac:dyDescent="0.25">
      <c r="A25" s="53"/>
      <c r="B25" s="2004" t="s">
        <v>683</v>
      </c>
      <c r="C25" s="2004"/>
      <c r="D25" s="2004"/>
      <c r="E25" s="2004"/>
      <c r="F25" s="2004"/>
      <c r="G25" s="2004"/>
      <c r="H25" s="2004"/>
      <c r="I25" s="2004"/>
      <c r="J25" s="2004"/>
      <c r="K25" s="53"/>
    </row>
    <row r="26" spans="1:13" x14ac:dyDescent="0.25">
      <c r="A26" s="53"/>
      <c r="B26" s="323"/>
      <c r="C26" s="323"/>
      <c r="D26" s="323"/>
      <c r="E26" s="323"/>
      <c r="F26" s="323"/>
      <c r="G26" s="53"/>
      <c r="H26" s="53"/>
      <c r="I26" s="53"/>
      <c r="J26" s="53"/>
      <c r="K26" s="53"/>
    </row>
    <row r="27" spans="1:13" x14ac:dyDescent="0.25">
      <c r="A27" s="53"/>
      <c r="B27" s="1411" t="s">
        <v>1294</v>
      </c>
      <c r="C27" s="1411"/>
      <c r="D27" s="1411"/>
      <c r="E27" s="1411"/>
      <c r="F27" s="1411"/>
      <c r="G27" s="53"/>
      <c r="H27" s="53"/>
      <c r="I27" s="53"/>
      <c r="J27" s="53"/>
      <c r="K27" s="53"/>
    </row>
    <row r="28" spans="1:13" ht="9" customHeight="1" x14ac:dyDescent="0.25">
      <c r="A28" s="53"/>
      <c r="B28" s="674"/>
      <c r="C28" s="674"/>
      <c r="D28" s="674"/>
      <c r="E28" s="674"/>
      <c r="F28" s="674"/>
      <c r="G28" s="53"/>
      <c r="H28" s="53"/>
      <c r="I28" s="53"/>
      <c r="J28" s="53"/>
      <c r="K28" s="53"/>
    </row>
    <row r="29" spans="1:13" ht="19.5" customHeight="1" x14ac:dyDescent="0.25">
      <c r="A29" s="53"/>
      <c r="B29" s="2051" t="s">
        <v>1575</v>
      </c>
      <c r="C29" s="2051"/>
      <c r="D29" s="2051"/>
      <c r="E29" s="2051"/>
      <c r="F29" s="1191" t="s">
        <v>129</v>
      </c>
      <c r="G29" s="53"/>
      <c r="H29" s="53"/>
      <c r="I29" s="53"/>
      <c r="J29" s="53"/>
      <c r="K29" s="53"/>
      <c r="L29" s="87" t="b">
        <v>0</v>
      </c>
      <c r="M29" s="87" t="b">
        <v>0</v>
      </c>
    </row>
    <row r="30" spans="1:13" ht="25.5" customHeight="1" x14ac:dyDescent="0.25">
      <c r="A30" s="53"/>
      <c r="B30" s="2051" t="s">
        <v>1576</v>
      </c>
      <c r="C30" s="2051"/>
      <c r="D30" s="2058"/>
      <c r="E30" s="2058"/>
      <c r="F30" s="1191" t="s">
        <v>129</v>
      </c>
      <c r="G30" s="53"/>
      <c r="H30" s="53"/>
      <c r="I30" s="53"/>
      <c r="J30" s="53"/>
      <c r="K30" s="53"/>
      <c r="L30" s="87" t="b">
        <v>0</v>
      </c>
      <c r="M30" s="87" t="b">
        <v>0</v>
      </c>
    </row>
    <row r="31" spans="1:13" ht="19.5" customHeight="1" x14ac:dyDescent="0.25">
      <c r="A31" s="53"/>
      <c r="B31" s="2051" t="s">
        <v>1577</v>
      </c>
      <c r="C31" s="2051"/>
      <c r="D31" s="2052"/>
      <c r="E31" s="2052"/>
      <c r="F31" s="1191" t="s">
        <v>129</v>
      </c>
      <c r="G31" s="53"/>
      <c r="H31" s="53"/>
      <c r="I31" s="53"/>
      <c r="J31" s="53"/>
      <c r="K31" s="53"/>
      <c r="L31" s="87" t="b">
        <v>0</v>
      </c>
      <c r="M31" s="87" t="b">
        <v>0</v>
      </c>
    </row>
    <row r="32" spans="1:13" ht="78" customHeight="1" x14ac:dyDescent="0.25">
      <c r="A32" s="53"/>
      <c r="B32" s="2002" t="s">
        <v>1578</v>
      </c>
      <c r="C32" s="2003"/>
      <c r="D32" s="2012"/>
      <c r="E32" s="2012"/>
      <c r="F32" s="2012"/>
      <c r="G32" s="2012"/>
      <c r="H32" s="2012"/>
      <c r="I32" s="2012"/>
      <c r="J32" s="53"/>
      <c r="K32" s="53"/>
    </row>
    <row r="33" spans="1:13" x14ac:dyDescent="0.25">
      <c r="A33" s="53"/>
      <c r="B33" s="54"/>
      <c r="C33" s="54"/>
      <c r="D33" s="54"/>
      <c r="E33" s="54"/>
      <c r="F33" s="53"/>
      <c r="G33" s="53"/>
      <c r="H33" s="53"/>
      <c r="I33" s="53"/>
      <c r="J33" s="53"/>
      <c r="K33" s="85"/>
    </row>
    <row r="34" spans="1:13" ht="18" customHeight="1" x14ac:dyDescent="0.25">
      <c r="A34" s="53"/>
      <c r="B34" s="2047" t="s">
        <v>685</v>
      </c>
      <c r="C34" s="2047"/>
      <c r="D34" s="285" t="str">
        <f>IF(AND(F29="Yes",F30="Yes",OR(F31="Yes",D32&lt;&gt;"")),"Yes","No")</f>
        <v>No</v>
      </c>
      <c r="E34" s="54"/>
      <c r="F34" s="53"/>
      <c r="G34" s="53"/>
      <c r="H34" s="53"/>
      <c r="I34" s="53"/>
      <c r="J34" s="53"/>
      <c r="K34" s="85"/>
    </row>
    <row r="35" spans="1:13" x14ac:dyDescent="0.25">
      <c r="A35" s="53"/>
      <c r="B35" s="54"/>
      <c r="C35" s="54"/>
      <c r="D35" s="54"/>
      <c r="E35" s="54"/>
      <c r="F35" s="53"/>
      <c r="G35" s="53"/>
      <c r="H35" s="53"/>
      <c r="I35" s="53"/>
      <c r="J35" s="53"/>
      <c r="K35" s="85"/>
    </row>
    <row r="36" spans="1:13" ht="18" customHeight="1" x14ac:dyDescent="0.25">
      <c r="A36" s="1974" t="s">
        <v>200</v>
      </c>
      <c r="B36" s="1974"/>
      <c r="C36" s="1974"/>
      <c r="D36" s="1974"/>
      <c r="E36" s="1974"/>
      <c r="F36" s="1974"/>
      <c r="G36" s="1974"/>
      <c r="H36" s="1974"/>
      <c r="I36" s="1974"/>
      <c r="J36" s="1974"/>
      <c r="K36" s="1974"/>
    </row>
    <row r="37" spans="1:13" x14ac:dyDescent="0.25">
      <c r="A37" s="53"/>
      <c r="B37" s="54"/>
      <c r="C37" s="54"/>
      <c r="D37" s="54"/>
      <c r="E37" s="54"/>
      <c r="F37" s="53"/>
      <c r="G37" s="53"/>
      <c r="H37" s="53"/>
      <c r="I37" s="53"/>
      <c r="J37" s="53"/>
      <c r="K37" s="85"/>
    </row>
    <row r="38" spans="1:13" ht="18" customHeight="1" x14ac:dyDescent="0.25">
      <c r="A38" s="53"/>
      <c r="B38" s="1998" t="s">
        <v>2103</v>
      </c>
      <c r="C38" s="1999"/>
      <c r="D38" s="1999"/>
      <c r="E38" s="1999"/>
      <c r="F38" s="1999"/>
      <c r="G38" s="1080" t="s">
        <v>2101</v>
      </c>
      <c r="H38" s="2000" t="s">
        <v>2102</v>
      </c>
      <c r="I38" s="2001"/>
      <c r="J38" s="53"/>
      <c r="K38" s="53"/>
      <c r="L38" s="53"/>
      <c r="M38" s="53"/>
    </row>
    <row r="39" spans="1:13" ht="24" customHeight="1" x14ac:dyDescent="0.25">
      <c r="A39" s="53"/>
      <c r="B39" s="1436" t="s">
        <v>2079</v>
      </c>
      <c r="C39" s="1437"/>
      <c r="D39" s="1437"/>
      <c r="E39" s="1437"/>
      <c r="F39" s="1438"/>
      <c r="G39" s="518" t="s">
        <v>129</v>
      </c>
      <c r="H39" s="1730"/>
      <c r="I39" s="1729"/>
      <c r="J39" s="53"/>
      <c r="K39" s="53"/>
      <c r="L39" s="53"/>
      <c r="M39" s="53"/>
    </row>
    <row r="40" spans="1:13" ht="16.5" customHeight="1" x14ac:dyDescent="0.25">
      <c r="A40" s="53"/>
      <c r="B40" s="54"/>
      <c r="C40" s="54"/>
      <c r="D40" s="54"/>
      <c r="E40" s="54"/>
      <c r="F40" s="53"/>
      <c r="G40" s="53"/>
      <c r="H40" s="53"/>
      <c r="I40" s="53"/>
      <c r="J40" s="53"/>
      <c r="K40" s="85"/>
    </row>
    <row r="41" spans="1:13" ht="18" customHeight="1" x14ac:dyDescent="0.25">
      <c r="A41" s="1974" t="s">
        <v>25</v>
      </c>
      <c r="B41" s="1974"/>
      <c r="C41" s="1974"/>
      <c r="D41" s="1974"/>
      <c r="E41" s="1974"/>
      <c r="F41" s="1974"/>
      <c r="G41" s="1974"/>
      <c r="H41" s="1974"/>
      <c r="I41" s="1974"/>
      <c r="J41" s="1974"/>
      <c r="K41" s="1974"/>
    </row>
    <row r="42" spans="1:13" x14ac:dyDescent="0.25">
      <c r="A42" s="53"/>
      <c r="B42" s="54"/>
      <c r="C42" s="54"/>
      <c r="D42" s="54"/>
      <c r="E42" s="54"/>
      <c r="F42" s="53"/>
      <c r="G42" s="53"/>
      <c r="H42" s="53"/>
      <c r="I42" s="53"/>
      <c r="J42" s="53"/>
      <c r="K42" s="53"/>
    </row>
    <row r="43" spans="1:13" ht="18" customHeight="1" x14ac:dyDescent="0.25">
      <c r="A43" s="53"/>
      <c r="B43" s="264" t="s">
        <v>56</v>
      </c>
      <c r="C43" s="12">
        <f>IF(D34="Yes",1,0)</f>
        <v>0</v>
      </c>
      <c r="D43" s="53"/>
      <c r="E43" s="53"/>
      <c r="F43" s="53"/>
      <c r="G43" s="53"/>
      <c r="H43" s="53"/>
      <c r="I43" s="53"/>
      <c r="J43" s="53"/>
      <c r="K43" s="53"/>
    </row>
    <row r="44" spans="1:13" ht="18" customHeight="1" x14ac:dyDescent="0.25">
      <c r="A44" s="53"/>
      <c r="B44" s="264" t="s">
        <v>521</v>
      </c>
      <c r="C44" s="203" t="str">
        <f>IF(AND(G39="Submitted",C43&gt;0),"Yes","No")</f>
        <v>No</v>
      </c>
      <c r="D44" s="53"/>
      <c r="E44" s="53"/>
      <c r="F44" s="53"/>
      <c r="G44" s="53"/>
      <c r="H44" s="53"/>
      <c r="I44" s="53"/>
      <c r="J44" s="53"/>
      <c r="K44" s="53"/>
    </row>
    <row r="45" spans="1:13" x14ac:dyDescent="0.25">
      <c r="A45" s="53"/>
      <c r="B45" s="54"/>
      <c r="C45" s="54"/>
      <c r="D45" s="54"/>
      <c r="E45" s="54"/>
      <c r="F45" s="53"/>
      <c r="G45" s="53"/>
      <c r="H45" s="53"/>
      <c r="I45" s="53"/>
      <c r="J45" s="53"/>
      <c r="K45" s="53"/>
    </row>
    <row r="46" spans="1:13" hidden="1" x14ac:dyDescent="0.25">
      <c r="A46" s="53"/>
      <c r="B46" s="54"/>
      <c r="C46" s="54"/>
      <c r="D46" s="54"/>
      <c r="E46" s="54"/>
      <c r="F46" s="53"/>
      <c r="G46" s="53"/>
      <c r="H46" s="53"/>
      <c r="I46" s="53"/>
      <c r="J46" s="53"/>
      <c r="K46" s="53"/>
    </row>
    <row r="47" spans="1:13" hidden="1" x14ac:dyDescent="0.25"/>
    <row r="48" spans="1:13" ht="15" hidden="1" customHeight="1" x14ac:dyDescent="0.25"/>
    <row r="49" ht="15" hidden="1" customHeight="1" x14ac:dyDescent="0.25"/>
    <row r="50" ht="15" hidden="1" customHeight="1" x14ac:dyDescent="0.25"/>
  </sheetData>
  <sheetProtection password="DAFC" sheet="1" objects="1" scenarios="1"/>
  <mergeCells count="23">
    <mergeCell ref="A41:K41"/>
    <mergeCell ref="B31:E31"/>
    <mergeCell ref="A1:M1"/>
    <mergeCell ref="B34:C34"/>
    <mergeCell ref="A9:K9"/>
    <mergeCell ref="A14:K14"/>
    <mergeCell ref="B39:F39"/>
    <mergeCell ref="G2:H4"/>
    <mergeCell ref="A5:K7"/>
    <mergeCell ref="B11:E11"/>
    <mergeCell ref="B12:E12"/>
    <mergeCell ref="B16:F16"/>
    <mergeCell ref="B24:J24"/>
    <mergeCell ref="B25:J25"/>
    <mergeCell ref="B30:E30"/>
    <mergeCell ref="B32:C32"/>
    <mergeCell ref="D32:I32"/>
    <mergeCell ref="B27:F27"/>
    <mergeCell ref="H39:I39"/>
    <mergeCell ref="B38:F38"/>
    <mergeCell ref="H38:I38"/>
    <mergeCell ref="B29:E29"/>
    <mergeCell ref="A36:K36"/>
  </mergeCells>
  <conditionalFormatting sqref="G39">
    <cfRule type="expression" dxfId="34" priority="3">
      <formula>#REF!&lt;&gt;"Prescriptive Path"</formula>
    </cfRule>
  </conditionalFormatting>
  <conditionalFormatting sqref="H39">
    <cfRule type="expression" dxfId="33" priority="2">
      <formula>#REF!&lt;&gt;"Prescriptive Path"</formula>
    </cfRule>
  </conditionalFormatting>
  <conditionalFormatting sqref="H38:I38">
    <cfRule type="expression" dxfId="32" priority="1">
      <formula>#REF!&lt;&gt;"Prescriptive Path"</formula>
    </cfRule>
  </conditionalFormatting>
  <dataValidations count="3">
    <dataValidation type="list" allowBlank="1" showInputMessage="1" showErrorMessage="1" sqref="G39">
      <formula1>"Submitted,Not submitted"</formula1>
    </dataValidation>
    <dataValidation type="whole" allowBlank="1" showInputMessage="1" showErrorMessage="1" sqref="G12">
      <formula1>0</formula1>
      <formula2>F12</formula2>
    </dataValidation>
    <dataValidation type="list" allowBlank="1" showInputMessage="1" showErrorMessage="1" sqref="F29:F31">
      <formula1>"Select,Yes,No"</formula1>
    </dataValidation>
  </dataValidations>
  <hyperlinks>
    <hyperlink ref="K2" location="'LE-7 Refrigerants'!E3" tooltip="LE-7" display="LE-7"/>
    <hyperlink ref="I3" location="'LE-2 Site design'!B3" tooltip="LE-2" display="LE-2"/>
    <hyperlink ref="I4" location="'LE-3 Vegetation'!D3" tooltip="LE-3" display="LE-3"/>
    <hyperlink ref="J4" location="'LE-6 Flood Risk Mitigation'!E3" tooltip="LE-6" display="LE-6"/>
    <hyperlink ref="J2" location="'LE-4 Heat Island Effect'!E3" tooltip="LE-4" display="LE-4"/>
    <hyperlink ref="J3" location="'LE-5 Storm Water Runoff'!E3" tooltip="LE-5" display="LE-5"/>
    <hyperlink ref="K3" location="'LE-8 Waste Management'!E3" tooltip="LE-8" display="LE-8"/>
    <hyperlink ref="I2" location="'LE-1 Site Selection'!B3" tooltip="LE-1" display="LE-1"/>
  </hyperlink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R98"/>
  <sheetViews>
    <sheetView showRowColHeaders="0" workbookViewId="0">
      <pane ySplit="7" topLeftCell="A8" activePane="bottomLeft" state="frozen"/>
      <selection pane="bottomLeft" activeCell="I13" sqref="I13"/>
    </sheetView>
  </sheetViews>
  <sheetFormatPr defaultColWidth="0" defaultRowHeight="15" customHeight="1" zeroHeight="1" x14ac:dyDescent="0.25"/>
  <cols>
    <col min="1" max="1" width="4.5703125" style="302" customWidth="1"/>
    <col min="2" max="4" width="10.7109375" style="302" customWidth="1"/>
    <col min="5" max="5" width="12.140625" style="302" customWidth="1"/>
    <col min="6" max="6" width="10.5703125" style="302" customWidth="1"/>
    <col min="7" max="7" width="10.85546875" style="302" customWidth="1"/>
    <col min="8" max="8" width="12.140625" style="302" customWidth="1"/>
    <col min="9" max="9" width="11.7109375" style="302" customWidth="1"/>
    <col min="10" max="16" width="10.7109375" style="302" customWidth="1"/>
    <col min="17" max="17" width="4.5703125" style="302" customWidth="1"/>
    <col min="18" max="18" width="0" style="302" hidden="1" customWidth="1"/>
    <col min="19" max="16384" width="9.140625" style="302" hidden="1"/>
  </cols>
  <sheetData>
    <row r="1" spans="1:18" ht="30" customHeight="1" x14ac:dyDescent="0.25">
      <c r="A1" s="1214" t="s">
        <v>1163</v>
      </c>
      <c r="B1" s="1214"/>
      <c r="C1" s="1214"/>
      <c r="D1" s="1214"/>
      <c r="E1" s="1214"/>
      <c r="F1" s="1214"/>
      <c r="G1" s="1214"/>
      <c r="H1" s="1214"/>
      <c r="I1" s="1214"/>
      <c r="J1" s="677"/>
      <c r="K1" s="1210" t="s">
        <v>1224</v>
      </c>
      <c r="L1" s="1210"/>
      <c r="M1" s="1210"/>
      <c r="N1" s="1210"/>
      <c r="O1" s="1210"/>
      <c r="P1" s="1210"/>
      <c r="Q1" s="677"/>
      <c r="R1" s="301"/>
    </row>
    <row r="2" spans="1:18" ht="18.75" x14ac:dyDescent="0.3">
      <c r="A2" s="303"/>
      <c r="B2" s="1213" t="s">
        <v>1180</v>
      </c>
      <c r="C2" s="1213"/>
      <c r="D2" s="1213"/>
      <c r="E2" s="1213"/>
      <c r="F2" s="303"/>
      <c r="G2" s="303"/>
      <c r="H2" s="303"/>
      <c r="I2" s="303"/>
      <c r="J2" s="1209"/>
      <c r="K2" s="1209"/>
      <c r="L2" s="631"/>
      <c r="M2" s="631"/>
      <c r="N2" s="303"/>
      <c r="O2" s="303"/>
      <c r="P2" s="629"/>
      <c r="Q2" s="303"/>
      <c r="R2" s="301"/>
    </row>
    <row r="3" spans="1:18" ht="18.75" x14ac:dyDescent="0.3">
      <c r="A3" s="303"/>
      <c r="B3" s="1213" t="s">
        <v>1164</v>
      </c>
      <c r="C3" s="1213"/>
      <c r="D3" s="1213"/>
      <c r="E3" s="1213"/>
      <c r="F3" s="303"/>
      <c r="G3" s="303"/>
      <c r="H3" s="303"/>
      <c r="I3" s="303"/>
      <c r="J3" s="632"/>
      <c r="K3" s="632"/>
      <c r="L3" s="631"/>
      <c r="M3" s="631"/>
      <c r="N3" s="303"/>
      <c r="O3" s="303"/>
      <c r="P3" s="629"/>
      <c r="Q3" s="303"/>
      <c r="R3" s="301"/>
    </row>
    <row r="4" spans="1:18" ht="18.75" x14ac:dyDescent="0.3">
      <c r="A4" s="303"/>
      <c r="B4" s="1213" t="s">
        <v>1181</v>
      </c>
      <c r="C4" s="1213"/>
      <c r="D4" s="1213"/>
      <c r="E4" s="1213"/>
      <c r="F4" s="303"/>
      <c r="G4" s="303"/>
      <c r="H4" s="303"/>
      <c r="I4" s="303"/>
      <c r="J4" s="632"/>
      <c r="K4" s="632"/>
      <c r="L4" s="303"/>
      <c r="M4" s="303"/>
      <c r="N4" s="303"/>
      <c r="O4" s="303"/>
      <c r="P4" s="629"/>
      <c r="Q4" s="303"/>
      <c r="R4" s="301"/>
    </row>
    <row r="5" spans="1:18" ht="12" customHeight="1" x14ac:dyDescent="0.25">
      <c r="A5" s="303"/>
      <c r="B5" s="303"/>
      <c r="C5" s="303"/>
      <c r="D5" s="303"/>
      <c r="E5" s="303"/>
      <c r="F5" s="303"/>
      <c r="G5" s="303"/>
      <c r="H5" s="303"/>
      <c r="I5" s="303"/>
      <c r="J5" s="629"/>
      <c r="K5" s="629"/>
      <c r="L5" s="300"/>
      <c r="M5" s="300"/>
      <c r="N5" s="300"/>
      <c r="O5" s="300"/>
      <c r="P5" s="629"/>
      <c r="Q5" s="303"/>
      <c r="R5" s="301"/>
    </row>
    <row r="6" spans="1:18" ht="16.5" customHeight="1" x14ac:dyDescent="0.3">
      <c r="A6" s="614"/>
      <c r="B6" s="616" t="s">
        <v>2045</v>
      </c>
      <c r="C6" s="615"/>
      <c r="D6" s="615"/>
      <c r="E6" s="615"/>
      <c r="F6" s="615"/>
      <c r="G6" s="614"/>
      <c r="H6" s="614"/>
      <c r="I6" s="614"/>
      <c r="J6" s="614"/>
      <c r="K6" s="614"/>
      <c r="L6" s="614"/>
      <c r="M6" s="614"/>
      <c r="N6" s="614"/>
      <c r="O6" s="614"/>
      <c r="P6" s="614"/>
      <c r="Q6" s="614"/>
      <c r="R6" s="301"/>
    </row>
    <row r="7" spans="1:18" ht="16.5" customHeight="1" x14ac:dyDescent="0.3">
      <c r="A7" s="614"/>
      <c r="B7" s="616" t="s">
        <v>1190</v>
      </c>
      <c r="C7" s="615"/>
      <c r="D7" s="615"/>
      <c r="E7" s="615"/>
      <c r="F7" s="615"/>
      <c r="G7" s="614"/>
      <c r="H7" s="614"/>
      <c r="I7" s="614"/>
      <c r="J7" s="614"/>
      <c r="K7" s="614"/>
      <c r="L7" s="614"/>
      <c r="M7" s="614"/>
      <c r="N7" s="614"/>
      <c r="O7" s="614"/>
      <c r="P7" s="614"/>
      <c r="Q7" s="614"/>
      <c r="R7" s="301"/>
    </row>
    <row r="8" spans="1:18" ht="12" customHeight="1" x14ac:dyDescent="0.3">
      <c r="A8" s="688"/>
      <c r="B8" s="1021"/>
      <c r="C8" s="1019"/>
      <c r="D8" s="1019"/>
      <c r="E8" s="1019"/>
      <c r="F8" s="1019"/>
      <c r="G8" s="688"/>
      <c r="H8" s="688"/>
      <c r="I8" s="688"/>
      <c r="J8" s="688"/>
      <c r="K8" s="688"/>
      <c r="L8" s="688"/>
      <c r="M8" s="688"/>
      <c r="N8" s="688"/>
      <c r="O8" s="688"/>
      <c r="P8" s="688"/>
      <c r="Q8" s="688"/>
      <c r="R8" s="301"/>
    </row>
    <row r="9" spans="1:18" ht="21" x14ac:dyDescent="0.35">
      <c r="A9" s="688"/>
      <c r="B9" s="1020" t="s">
        <v>1180</v>
      </c>
      <c r="C9" s="1019"/>
      <c r="D9" s="1019"/>
      <c r="E9" s="1019"/>
      <c r="F9" s="1019"/>
      <c r="G9" s="688"/>
      <c r="H9" s="688"/>
      <c r="I9" s="688"/>
      <c r="J9" s="688"/>
      <c r="K9" s="688"/>
      <c r="L9" s="688"/>
      <c r="M9" s="688"/>
      <c r="N9" s="688"/>
      <c r="O9" s="688"/>
      <c r="P9" s="688"/>
      <c r="Q9" s="688"/>
      <c r="R9" s="301"/>
    </row>
    <row r="10" spans="1:18" ht="9" customHeight="1" x14ac:dyDescent="0.35">
      <c r="A10" s="688"/>
      <c r="B10" s="687"/>
      <c r="C10" s="1019"/>
      <c r="D10" s="1019"/>
      <c r="E10" s="1019"/>
      <c r="F10" s="1019"/>
      <c r="G10" s="688"/>
      <c r="H10" s="688"/>
      <c r="I10" s="688"/>
      <c r="J10" s="688"/>
      <c r="K10" s="688"/>
      <c r="L10" s="688"/>
      <c r="M10" s="688"/>
      <c r="N10" s="688"/>
      <c r="O10" s="688"/>
      <c r="P10" s="688"/>
      <c r="Q10" s="688"/>
      <c r="R10" s="301"/>
    </row>
    <row r="11" spans="1:18" ht="16.5" customHeight="1" x14ac:dyDescent="0.3">
      <c r="A11" s="688"/>
      <c r="B11" s="1021" t="s">
        <v>1185</v>
      </c>
      <c r="C11" s="1019"/>
      <c r="D11" s="1019"/>
      <c r="E11" s="1019"/>
      <c r="F11" s="1019"/>
      <c r="G11" s="688"/>
      <c r="H11" s="688"/>
      <c r="I11" s="688"/>
      <c r="J11" s="688"/>
      <c r="K11" s="688"/>
      <c r="L11" s="688"/>
      <c r="M11" s="688"/>
      <c r="N11" s="688"/>
      <c r="O11" s="688"/>
      <c r="P11" s="688"/>
      <c r="Q11" s="688"/>
      <c r="R11" s="301"/>
    </row>
    <row r="12" spans="1:18" ht="16.5" customHeight="1" x14ac:dyDescent="0.3">
      <c r="A12" s="688"/>
      <c r="B12" s="1021" t="s">
        <v>1186</v>
      </c>
      <c r="C12" s="1019"/>
      <c r="D12" s="1019"/>
      <c r="E12" s="1019"/>
      <c r="F12" s="1019"/>
      <c r="G12" s="688"/>
      <c r="H12" s="688"/>
      <c r="I12" s="688"/>
      <c r="J12" s="688"/>
      <c r="K12" s="688"/>
      <c r="L12" s="688"/>
      <c r="M12" s="688"/>
      <c r="N12" s="688"/>
      <c r="O12" s="688"/>
      <c r="P12" s="688"/>
      <c r="Q12" s="688"/>
      <c r="R12" s="301"/>
    </row>
    <row r="13" spans="1:18" ht="16.5" customHeight="1" x14ac:dyDescent="0.3">
      <c r="A13" s="688"/>
      <c r="B13" s="1022" t="s">
        <v>1187</v>
      </c>
      <c r="C13" s="1019"/>
      <c r="D13" s="1019"/>
      <c r="E13" s="1019"/>
      <c r="F13" s="1019"/>
      <c r="G13" s="688"/>
      <c r="H13" s="688"/>
      <c r="I13" s="688"/>
      <c r="J13" s="688"/>
      <c r="K13" s="688"/>
      <c r="L13" s="688"/>
      <c r="M13" s="688"/>
      <c r="N13" s="688"/>
      <c r="O13" s="688"/>
      <c r="P13" s="688"/>
      <c r="Q13" s="688"/>
      <c r="R13" s="301"/>
    </row>
    <row r="14" spans="1:18" ht="16.5" customHeight="1" x14ac:dyDescent="0.3">
      <c r="A14" s="688"/>
      <c r="B14" s="1022" t="s">
        <v>1188</v>
      </c>
      <c r="C14" s="1019"/>
      <c r="D14" s="1019"/>
      <c r="E14" s="1019"/>
      <c r="F14" s="1019"/>
      <c r="G14" s="688"/>
      <c r="H14" s="688"/>
      <c r="I14" s="688"/>
      <c r="J14" s="688"/>
      <c r="K14" s="688"/>
      <c r="L14" s="688"/>
      <c r="M14" s="688"/>
      <c r="N14" s="688"/>
      <c r="O14" s="688"/>
      <c r="P14" s="688"/>
      <c r="Q14" s="688"/>
      <c r="R14" s="301"/>
    </row>
    <row r="15" spans="1:18" ht="16.5" customHeight="1" x14ac:dyDescent="0.3">
      <c r="A15" s="688"/>
      <c r="B15" s="1022" t="s">
        <v>1189</v>
      </c>
      <c r="C15" s="1019"/>
      <c r="D15" s="1019"/>
      <c r="E15" s="1019"/>
      <c r="F15" s="1019"/>
      <c r="G15" s="688"/>
      <c r="H15" s="688"/>
      <c r="I15" s="688"/>
      <c r="J15" s="688"/>
      <c r="K15" s="688"/>
      <c r="L15" s="688"/>
      <c r="M15" s="688"/>
      <c r="N15" s="688"/>
      <c r="O15" s="688"/>
      <c r="P15" s="688"/>
      <c r="Q15" s="688"/>
      <c r="R15" s="301"/>
    </row>
    <row r="16" spans="1:18" ht="12" customHeight="1" x14ac:dyDescent="0.3">
      <c r="A16" s="688"/>
      <c r="B16" s="1023"/>
      <c r="C16" s="1019"/>
      <c r="D16" s="1019"/>
      <c r="E16" s="1019"/>
      <c r="F16" s="1019"/>
      <c r="G16" s="688"/>
      <c r="H16" s="688"/>
      <c r="I16" s="688"/>
      <c r="J16" s="688"/>
      <c r="K16" s="688"/>
      <c r="L16" s="688"/>
      <c r="M16" s="688"/>
      <c r="N16" s="688"/>
      <c r="O16" s="688"/>
      <c r="P16" s="688"/>
      <c r="Q16" s="688"/>
      <c r="R16" s="301"/>
    </row>
    <row r="17" spans="1:18" ht="21" x14ac:dyDescent="0.35">
      <c r="A17" s="688"/>
      <c r="B17" s="1020" t="s">
        <v>1164</v>
      </c>
      <c r="C17" s="1024"/>
      <c r="D17" s="1024"/>
      <c r="E17" s="1024"/>
      <c r="F17" s="1024"/>
      <c r="G17" s="1024"/>
      <c r="H17" s="688"/>
      <c r="I17" s="688"/>
      <c r="J17" s="688"/>
      <c r="K17" s="688"/>
      <c r="L17" s="688"/>
      <c r="M17" s="688"/>
      <c r="N17" s="688"/>
      <c r="O17" s="688"/>
      <c r="P17" s="688"/>
      <c r="Q17" s="688"/>
      <c r="R17" s="301"/>
    </row>
    <row r="18" spans="1:18" ht="9" customHeight="1" x14ac:dyDescent="0.3">
      <c r="A18" s="688"/>
      <c r="B18" s="1025"/>
      <c r="C18" s="1024"/>
      <c r="D18" s="1024"/>
      <c r="E18" s="1024"/>
      <c r="F18" s="1024"/>
      <c r="G18" s="1024"/>
      <c r="H18" s="688"/>
      <c r="I18" s="688"/>
      <c r="J18" s="688"/>
      <c r="K18" s="688"/>
      <c r="L18" s="688"/>
      <c r="M18" s="688"/>
      <c r="N18" s="688"/>
      <c r="O18" s="688"/>
      <c r="P18" s="688"/>
      <c r="Q18" s="688"/>
      <c r="R18" s="301"/>
    </row>
    <row r="19" spans="1:18" ht="15" customHeight="1" x14ac:dyDescent="0.25">
      <c r="A19" s="688"/>
      <c r="B19" s="1021" t="s">
        <v>1705</v>
      </c>
      <c r="C19" s="1024"/>
      <c r="D19" s="1024"/>
      <c r="E19" s="1024"/>
      <c r="F19" s="1024"/>
      <c r="G19" s="1024"/>
      <c r="H19" s="688"/>
      <c r="I19" s="688"/>
      <c r="J19" s="688"/>
      <c r="K19" s="688"/>
      <c r="L19" s="688"/>
      <c r="M19" s="688"/>
      <c r="N19" s="688"/>
      <c r="O19" s="688"/>
      <c r="P19" s="688"/>
      <c r="Q19" s="688"/>
      <c r="R19" s="301"/>
    </row>
    <row r="20" spans="1:18" ht="16.5" customHeight="1" x14ac:dyDescent="0.3">
      <c r="A20" s="688"/>
      <c r="B20" s="1021" t="s">
        <v>1191</v>
      </c>
      <c r="C20" s="1019"/>
      <c r="D20" s="1019"/>
      <c r="E20" s="1019"/>
      <c r="F20" s="1019"/>
      <c r="G20" s="688"/>
      <c r="H20" s="688"/>
      <c r="I20" s="688"/>
      <c r="J20" s="688"/>
      <c r="K20" s="688"/>
      <c r="L20" s="688"/>
      <c r="M20" s="688"/>
      <c r="N20" s="688"/>
      <c r="O20" s="688"/>
      <c r="P20" s="688"/>
      <c r="Q20" s="688"/>
      <c r="R20" s="301"/>
    </row>
    <row r="21" spans="1:18" ht="16.5" customHeight="1" x14ac:dyDescent="0.3">
      <c r="A21" s="688"/>
      <c r="B21" s="1021" t="s">
        <v>1192</v>
      </c>
      <c r="C21" s="1019"/>
      <c r="D21" s="1019"/>
      <c r="E21" s="1019"/>
      <c r="F21" s="1019"/>
      <c r="G21" s="688"/>
      <c r="H21" s="688"/>
      <c r="I21" s="688"/>
      <c r="J21" s="688"/>
      <c r="K21" s="688"/>
      <c r="L21" s="688"/>
      <c r="M21" s="688"/>
      <c r="N21" s="688"/>
      <c r="O21" s="688"/>
      <c r="P21" s="688"/>
      <c r="Q21" s="688"/>
      <c r="R21" s="301"/>
    </row>
    <row r="22" spans="1:18" ht="16.5" customHeight="1" x14ac:dyDescent="0.3">
      <c r="A22" s="688"/>
      <c r="B22" s="1022" t="s">
        <v>1165</v>
      </c>
      <c r="C22" s="1019"/>
      <c r="D22" s="1019"/>
      <c r="E22" s="1019"/>
      <c r="F22" s="1019"/>
      <c r="G22" s="688"/>
      <c r="H22" s="688"/>
      <c r="I22" s="688"/>
      <c r="J22" s="688"/>
      <c r="K22" s="688"/>
      <c r="L22" s="688"/>
      <c r="M22" s="688"/>
      <c r="N22" s="688"/>
      <c r="O22" s="688"/>
      <c r="P22" s="688"/>
      <c r="Q22" s="688"/>
      <c r="R22" s="301"/>
    </row>
    <row r="23" spans="1:18" ht="16.5" customHeight="1" x14ac:dyDescent="0.3">
      <c r="A23" s="688"/>
      <c r="B23" s="1022" t="s">
        <v>1167</v>
      </c>
      <c r="C23" s="1019"/>
      <c r="D23" s="1019"/>
      <c r="E23" s="1019"/>
      <c r="F23" s="1019"/>
      <c r="G23" s="688"/>
      <c r="H23" s="688"/>
      <c r="I23" s="688"/>
      <c r="J23" s="688"/>
      <c r="K23" s="688"/>
      <c r="L23" s="688"/>
      <c r="M23" s="688"/>
      <c r="N23" s="688"/>
      <c r="O23" s="688"/>
      <c r="P23" s="688"/>
      <c r="Q23" s="688"/>
      <c r="R23" s="301"/>
    </row>
    <row r="24" spans="1:18" ht="16.5" customHeight="1" x14ac:dyDescent="0.3">
      <c r="A24" s="688"/>
      <c r="B24" s="1022" t="s">
        <v>1166</v>
      </c>
      <c r="C24" s="1019"/>
      <c r="D24" s="1019"/>
      <c r="E24" s="1019"/>
      <c r="F24" s="1019"/>
      <c r="G24" s="688"/>
      <c r="H24" s="688"/>
      <c r="I24" s="688"/>
      <c r="J24" s="688"/>
      <c r="K24" s="688"/>
      <c r="L24" s="688"/>
      <c r="M24" s="688"/>
      <c r="N24" s="688"/>
      <c r="O24" s="688"/>
      <c r="P24" s="688"/>
      <c r="Q24" s="688"/>
      <c r="R24" s="301"/>
    </row>
    <row r="25" spans="1:18" ht="16.5" customHeight="1" x14ac:dyDescent="0.3">
      <c r="A25" s="688"/>
      <c r="B25" s="1021"/>
      <c r="C25" s="1019"/>
      <c r="D25" s="1019"/>
      <c r="E25" s="1019"/>
      <c r="F25" s="1019"/>
      <c r="G25" s="688"/>
      <c r="H25" s="688"/>
      <c r="I25" s="688"/>
      <c r="J25" s="688"/>
      <c r="K25" s="688"/>
      <c r="L25" s="688"/>
      <c r="M25" s="688"/>
      <c r="N25" s="688"/>
      <c r="O25" s="688"/>
      <c r="P25" s="688"/>
      <c r="Q25" s="688"/>
      <c r="R25" s="301"/>
    </row>
    <row r="26" spans="1:18" ht="17.25" customHeight="1" x14ac:dyDescent="0.3">
      <c r="A26" s="688"/>
      <c r="B26" s="1021"/>
      <c r="C26" s="1034" t="s">
        <v>1169</v>
      </c>
      <c r="D26" s="1034"/>
      <c r="E26" s="1034"/>
      <c r="F26" s="1034"/>
      <c r="G26" s="688"/>
      <c r="H26" s="688"/>
      <c r="I26" s="688"/>
      <c r="J26" s="688"/>
      <c r="K26" s="688"/>
      <c r="L26" s="688"/>
      <c r="M26" s="688"/>
      <c r="N26" s="688"/>
      <c r="O26" s="688"/>
      <c r="P26" s="688"/>
      <c r="Q26" s="688"/>
      <c r="R26" s="301"/>
    </row>
    <row r="27" spans="1:18" ht="17.25" customHeight="1" x14ac:dyDescent="0.3">
      <c r="A27" s="688"/>
      <c r="B27" s="1035"/>
      <c r="C27" s="1034" t="s">
        <v>1168</v>
      </c>
      <c r="D27" s="1035"/>
      <c r="E27" s="1035"/>
      <c r="F27" s="1036"/>
      <c r="G27" s="1036"/>
      <c r="H27" s="1036"/>
      <c r="I27" s="1036"/>
      <c r="J27" s="688"/>
      <c r="K27" s="688"/>
      <c r="L27" s="1036"/>
      <c r="M27" s="1036"/>
      <c r="N27" s="1036"/>
      <c r="O27" s="1036"/>
      <c r="P27" s="1036"/>
      <c r="Q27" s="686"/>
      <c r="R27" s="301"/>
    </row>
    <row r="28" spans="1:18" ht="17.25" customHeight="1" x14ac:dyDescent="0.3">
      <c r="A28" s="688"/>
      <c r="B28" s="1021"/>
      <c r="C28" s="1034" t="s">
        <v>1170</v>
      </c>
      <c r="D28" s="1036"/>
      <c r="E28" s="1036"/>
      <c r="F28" s="1036"/>
      <c r="G28" s="1036"/>
      <c r="H28" s="1036"/>
      <c r="I28" s="1036"/>
      <c r="J28" s="688"/>
      <c r="K28" s="688"/>
      <c r="L28" s="1036"/>
      <c r="M28" s="1036"/>
      <c r="N28" s="1036"/>
      <c r="O28" s="1036"/>
      <c r="P28" s="1036"/>
      <c r="Q28" s="686"/>
      <c r="R28" s="301"/>
    </row>
    <row r="29" spans="1:18" ht="12" customHeight="1" x14ac:dyDescent="0.25">
      <c r="A29" s="688"/>
      <c r="B29" s="1036"/>
      <c r="C29" s="1036"/>
      <c r="D29" s="1036"/>
      <c r="E29" s="1036"/>
      <c r="F29" s="1036"/>
      <c r="G29" s="1036"/>
      <c r="H29" s="1036"/>
      <c r="I29" s="1036"/>
      <c r="J29" s="688"/>
      <c r="K29" s="688"/>
      <c r="L29" s="1036"/>
      <c r="M29" s="1036"/>
      <c r="N29" s="1036"/>
      <c r="O29" s="1036"/>
      <c r="P29" s="1036"/>
      <c r="Q29" s="686"/>
      <c r="R29" s="301"/>
    </row>
    <row r="30" spans="1:18" ht="12" customHeight="1" x14ac:dyDescent="0.25">
      <c r="A30" s="688"/>
      <c r="B30" s="1036"/>
      <c r="C30" s="1036"/>
      <c r="D30" s="1036"/>
      <c r="E30" s="1036"/>
      <c r="F30" s="1036"/>
      <c r="G30" s="1036"/>
      <c r="H30" s="1036"/>
      <c r="I30" s="1036"/>
      <c r="J30" s="688"/>
      <c r="K30" s="688"/>
      <c r="L30" s="1036"/>
      <c r="M30" s="1036"/>
      <c r="N30" s="1036"/>
      <c r="O30" s="1036"/>
      <c r="P30" s="1036"/>
      <c r="Q30" s="686"/>
      <c r="R30" s="301"/>
    </row>
    <row r="31" spans="1:18" ht="15" customHeight="1" x14ac:dyDescent="0.35">
      <c r="A31" s="688"/>
      <c r="B31" s="1020" t="s">
        <v>1182</v>
      </c>
      <c r="C31" s="1020"/>
      <c r="D31" s="1020"/>
      <c r="E31" s="1020"/>
      <c r="F31" s="1036"/>
      <c r="G31" s="1036"/>
      <c r="H31" s="1036"/>
      <c r="I31" s="1036"/>
      <c r="J31" s="688"/>
      <c r="K31" s="688"/>
      <c r="L31" s="1036"/>
      <c r="M31" s="1036"/>
      <c r="N31" s="1036"/>
      <c r="O31" s="1036"/>
      <c r="P31" s="1036"/>
      <c r="Q31" s="686"/>
      <c r="R31" s="301"/>
    </row>
    <row r="32" spans="1:18" ht="9" customHeight="1" x14ac:dyDescent="0.3">
      <c r="A32" s="688"/>
      <c r="B32" s="1025"/>
      <c r="C32" s="1024"/>
      <c r="D32" s="1024"/>
      <c r="E32" s="1024"/>
      <c r="F32" s="1024"/>
      <c r="G32" s="1024"/>
      <c r="H32" s="688"/>
      <c r="I32" s="688"/>
      <c r="J32" s="688"/>
      <c r="K32" s="688"/>
      <c r="L32" s="688"/>
      <c r="M32" s="688"/>
      <c r="N32" s="688"/>
      <c r="O32" s="688"/>
      <c r="P32" s="688"/>
      <c r="Q32" s="688"/>
      <c r="R32" s="301"/>
    </row>
    <row r="33" spans="1:18" x14ac:dyDescent="0.25">
      <c r="A33" s="688"/>
      <c r="B33" s="1037" t="s">
        <v>1668</v>
      </c>
      <c r="C33" s="1036"/>
      <c r="D33" s="1036"/>
      <c r="E33" s="1036"/>
      <c r="F33" s="1036"/>
      <c r="G33" s="1036"/>
      <c r="H33" s="1036"/>
      <c r="I33" s="1036"/>
      <c r="J33" s="688"/>
      <c r="K33" s="1036"/>
      <c r="L33" s="1036"/>
      <c r="M33" s="1036"/>
      <c r="N33" s="1036"/>
      <c r="O33" s="1036"/>
      <c r="P33" s="1036"/>
      <c r="Q33" s="686"/>
      <c r="R33" s="301"/>
    </row>
    <row r="34" spans="1:18" ht="16.5" customHeight="1" x14ac:dyDescent="0.25">
      <c r="A34" s="688"/>
      <c r="B34" s="1037" t="s">
        <v>1193</v>
      </c>
      <c r="C34" s="1036"/>
      <c r="D34" s="1036"/>
      <c r="E34" s="1036"/>
      <c r="F34" s="1036"/>
      <c r="G34" s="1036"/>
      <c r="H34" s="1036"/>
      <c r="I34" s="1036"/>
      <c r="J34" s="1036"/>
      <c r="K34" s="1036"/>
      <c r="L34" s="1036"/>
      <c r="M34" s="1036"/>
      <c r="N34" s="1036"/>
      <c r="O34" s="1036"/>
      <c r="P34" s="1036"/>
      <c r="Q34" s="686"/>
      <c r="R34" s="301"/>
    </row>
    <row r="35" spans="1:18" ht="15.75" customHeight="1" x14ac:dyDescent="0.25">
      <c r="A35" s="688"/>
      <c r="B35" s="1038" t="s">
        <v>1194</v>
      </c>
      <c r="C35" s="1021"/>
      <c r="D35" s="1021"/>
      <c r="E35" s="1021"/>
      <c r="F35" s="1036"/>
      <c r="G35" s="1036"/>
      <c r="H35" s="1036"/>
      <c r="I35" s="1036"/>
      <c r="J35" s="1036"/>
      <c r="K35" s="1036"/>
      <c r="L35" s="1036"/>
      <c r="M35" s="1036"/>
      <c r="N35" s="1036"/>
      <c r="O35" s="1036"/>
      <c r="P35" s="1036"/>
      <c r="Q35" s="686"/>
      <c r="R35" s="301"/>
    </row>
    <row r="36" spans="1:18" ht="15.75" customHeight="1" x14ac:dyDescent="0.25">
      <c r="A36" s="688"/>
      <c r="B36" s="1038" t="s">
        <v>1195</v>
      </c>
      <c r="C36" s="1021"/>
      <c r="D36" s="1021"/>
      <c r="E36" s="1021"/>
      <c r="F36" s="1036"/>
      <c r="G36" s="1036"/>
      <c r="H36" s="1036"/>
      <c r="I36" s="1036"/>
      <c r="J36" s="1036"/>
      <c r="K36" s="1036"/>
      <c r="L36" s="1036"/>
      <c r="M36" s="1036"/>
      <c r="N36" s="1036"/>
      <c r="O36" s="1036"/>
      <c r="P36" s="1036"/>
      <c r="Q36" s="686"/>
      <c r="R36" s="301"/>
    </row>
    <row r="37" spans="1:18" ht="12" customHeight="1" x14ac:dyDescent="0.25">
      <c r="A37" s="688"/>
      <c r="B37" s="1021"/>
      <c r="C37" s="1021"/>
      <c r="D37" s="1021"/>
      <c r="E37" s="1021"/>
      <c r="F37" s="1036"/>
      <c r="G37" s="1036"/>
      <c r="H37" s="1036"/>
      <c r="I37" s="1036"/>
      <c r="J37" s="1036"/>
      <c r="K37" s="1036"/>
      <c r="L37" s="1036"/>
      <c r="M37" s="1036"/>
      <c r="N37" s="1036"/>
      <c r="O37" s="1036"/>
      <c r="P37" s="1036"/>
      <c r="Q37" s="686"/>
      <c r="R37" s="301"/>
    </row>
    <row r="38" spans="1:18" x14ac:dyDescent="0.25">
      <c r="A38" s="688"/>
      <c r="B38" s="1026" t="s">
        <v>1196</v>
      </c>
      <c r="C38" s="686"/>
      <c r="D38" s="686"/>
      <c r="E38" s="686"/>
      <c r="F38" s="686"/>
      <c r="G38" s="686"/>
      <c r="H38" s="686"/>
      <c r="I38" s="686"/>
      <c r="J38" s="686"/>
      <c r="K38" s="686"/>
      <c r="L38" s="686"/>
      <c r="M38" s="686"/>
      <c r="N38" s="686"/>
      <c r="O38" s="686"/>
      <c r="P38" s="686"/>
      <c r="Q38" s="686"/>
      <c r="R38" s="301"/>
    </row>
    <row r="39" spans="1:18" x14ac:dyDescent="0.25">
      <c r="A39" s="688"/>
      <c r="B39" s="1026" t="s">
        <v>1197</v>
      </c>
      <c r="C39" s="686"/>
      <c r="D39" s="686"/>
      <c r="E39" s="686"/>
      <c r="F39" s="686"/>
      <c r="G39" s="686"/>
      <c r="H39" s="686"/>
      <c r="I39" s="686"/>
      <c r="J39" s="686"/>
      <c r="K39" s="686"/>
      <c r="L39" s="686"/>
      <c r="M39" s="686"/>
      <c r="N39" s="686"/>
      <c r="O39" s="686"/>
      <c r="P39" s="686"/>
      <c r="Q39" s="686"/>
      <c r="R39" s="301"/>
    </row>
    <row r="40" spans="1:18" ht="20.25" customHeight="1" x14ac:dyDescent="0.25">
      <c r="A40" s="688"/>
      <c r="B40" s="1250" t="s">
        <v>1171</v>
      </c>
      <c r="C40" s="1246"/>
      <c r="D40" s="1246"/>
      <c r="E40" s="1246" t="s">
        <v>1172</v>
      </c>
      <c r="F40" s="1246" t="s">
        <v>1172</v>
      </c>
      <c r="G40" s="1246"/>
      <c r="H40" s="1246" t="s">
        <v>1179</v>
      </c>
      <c r="I40" s="1246"/>
      <c r="J40" s="1246" t="s">
        <v>1173</v>
      </c>
      <c r="K40" s="1246"/>
      <c r="L40" s="1246" t="s">
        <v>785</v>
      </c>
      <c r="M40" s="1251"/>
      <c r="N40" s="1036"/>
      <c r="O40" s="1036"/>
      <c r="P40" s="1036"/>
      <c r="Q40" s="686"/>
      <c r="R40" s="301"/>
    </row>
    <row r="41" spans="1:18" ht="39.75" customHeight="1" x14ac:dyDescent="0.25">
      <c r="A41" s="688"/>
      <c r="B41" s="1247" t="s">
        <v>1176</v>
      </c>
      <c r="C41" s="1248"/>
      <c r="D41" s="1249"/>
      <c r="E41" s="1247" t="s">
        <v>1174</v>
      </c>
      <c r="F41" s="1248" t="s">
        <v>1172</v>
      </c>
      <c r="G41" s="1249"/>
      <c r="H41" s="1247" t="s">
        <v>1177</v>
      </c>
      <c r="I41" s="1248"/>
      <c r="J41" s="1232" t="s">
        <v>145</v>
      </c>
      <c r="K41" s="1233"/>
      <c r="L41" s="1232" t="s">
        <v>1178</v>
      </c>
      <c r="M41" s="1233"/>
      <c r="N41" s="1036"/>
      <c r="O41" s="1036"/>
      <c r="P41" s="1036"/>
      <c r="Q41" s="686"/>
      <c r="R41" s="301"/>
    </row>
    <row r="42" spans="1:18" x14ac:dyDescent="0.25">
      <c r="A42" s="688"/>
      <c r="B42" s="1039" t="s">
        <v>1175</v>
      </c>
      <c r="C42" s="686"/>
      <c r="D42" s="686"/>
      <c r="E42" s="686"/>
      <c r="F42" s="686"/>
      <c r="G42" s="686"/>
      <c r="H42" s="686"/>
      <c r="I42" s="686"/>
      <c r="J42" s="686"/>
      <c r="K42" s="686"/>
      <c r="L42" s="686"/>
      <c r="M42" s="686"/>
      <c r="N42" s="686"/>
      <c r="O42" s="686"/>
      <c r="P42" s="686"/>
      <c r="Q42" s="686"/>
      <c r="R42" s="301"/>
    </row>
    <row r="43" spans="1:18" ht="18.75" x14ac:dyDescent="0.3">
      <c r="A43" s="688"/>
      <c r="B43" s="1021"/>
      <c r="C43" s="1034"/>
      <c r="D43" s="686"/>
      <c r="E43" s="686"/>
      <c r="F43" s="686"/>
      <c r="G43" s="686"/>
      <c r="H43" s="686"/>
      <c r="I43" s="686"/>
      <c r="J43" s="686"/>
      <c r="K43" s="686"/>
      <c r="L43" s="686"/>
      <c r="M43" s="686"/>
      <c r="N43" s="686"/>
      <c r="O43" s="686"/>
      <c r="P43" s="686"/>
      <c r="Q43" s="686"/>
      <c r="R43" s="301"/>
    </row>
    <row r="44" spans="1:18" ht="18.75" x14ac:dyDescent="0.3">
      <c r="A44" s="688"/>
      <c r="B44" s="1035"/>
      <c r="C44" s="1034" t="s">
        <v>1198</v>
      </c>
      <c r="D44" s="686"/>
      <c r="E44" s="686"/>
      <c r="F44" s="686"/>
      <c r="G44" s="686"/>
      <c r="H44" s="686"/>
      <c r="I44" s="686"/>
      <c r="J44" s="686"/>
      <c r="K44" s="686"/>
      <c r="L44" s="686"/>
      <c r="M44" s="686"/>
      <c r="N44" s="686"/>
      <c r="O44" s="686"/>
      <c r="P44" s="686"/>
      <c r="Q44" s="686"/>
      <c r="R44" s="301"/>
    </row>
    <row r="45" spans="1:18" ht="18.75" x14ac:dyDescent="0.3">
      <c r="A45" s="688"/>
      <c r="B45" s="1021"/>
      <c r="C45" s="1034" t="s">
        <v>1199</v>
      </c>
      <c r="D45" s="686"/>
      <c r="E45" s="686"/>
      <c r="F45" s="686"/>
      <c r="G45" s="686"/>
      <c r="H45" s="686"/>
      <c r="I45" s="686"/>
      <c r="J45" s="686"/>
      <c r="K45" s="686"/>
      <c r="L45" s="686"/>
      <c r="M45" s="686"/>
      <c r="N45" s="686"/>
      <c r="O45" s="686"/>
      <c r="P45" s="686"/>
      <c r="Q45" s="686"/>
      <c r="R45" s="301"/>
    </row>
    <row r="46" spans="1:18" ht="12.75" customHeight="1" x14ac:dyDescent="0.3">
      <c r="A46" s="688"/>
      <c r="B46" s="1021"/>
      <c r="C46" s="1034"/>
      <c r="D46" s="686"/>
      <c r="E46" s="686"/>
      <c r="F46" s="686"/>
      <c r="G46" s="686"/>
      <c r="H46" s="686"/>
      <c r="I46" s="686"/>
      <c r="J46" s="686"/>
      <c r="K46" s="686"/>
      <c r="L46" s="686"/>
      <c r="M46" s="686"/>
      <c r="N46" s="686"/>
      <c r="O46" s="686"/>
      <c r="P46" s="686"/>
      <c r="Q46" s="686"/>
      <c r="R46" s="301"/>
    </row>
    <row r="47" spans="1:18" x14ac:dyDescent="0.25">
      <c r="A47" s="688"/>
      <c r="B47" s="1026"/>
      <c r="C47" s="686"/>
      <c r="D47" s="686"/>
      <c r="E47" s="686"/>
      <c r="F47" s="686"/>
      <c r="G47" s="686"/>
      <c r="H47" s="686"/>
      <c r="I47" s="686"/>
      <c r="J47" s="686"/>
      <c r="K47" s="686"/>
      <c r="L47" s="686"/>
      <c r="M47" s="686"/>
      <c r="N47" s="686"/>
      <c r="O47" s="686"/>
      <c r="P47" s="686"/>
      <c r="Q47" s="686"/>
      <c r="R47" s="301"/>
    </row>
    <row r="48" spans="1:18" ht="17.25" customHeight="1" x14ac:dyDescent="0.25">
      <c r="A48" s="688"/>
      <c r="B48" s="686"/>
      <c r="C48" s="686"/>
      <c r="D48" s="686"/>
      <c r="E48" s="686"/>
      <c r="F48" s="686"/>
      <c r="G48" s="686"/>
      <c r="H48" s="686"/>
      <c r="I48" s="686"/>
      <c r="J48" s="686"/>
      <c r="K48" s="686"/>
      <c r="L48" s="686"/>
      <c r="M48" s="686"/>
      <c r="N48" s="686"/>
      <c r="O48" s="686"/>
      <c r="P48" s="686"/>
      <c r="Q48" s="686"/>
      <c r="R48" s="301"/>
    </row>
    <row r="49" spans="1:18" ht="17.25" hidden="1" customHeight="1" x14ac:dyDescent="0.25">
      <c r="A49" s="301"/>
      <c r="B49" s="304"/>
      <c r="C49" s="304"/>
      <c r="D49" s="304"/>
      <c r="E49" s="304"/>
      <c r="F49" s="304"/>
      <c r="G49" s="304"/>
      <c r="H49" s="304"/>
      <c r="I49" s="304"/>
      <c r="J49" s="304"/>
      <c r="K49" s="304"/>
      <c r="L49" s="304"/>
      <c r="M49" s="304"/>
      <c r="N49" s="304"/>
      <c r="O49" s="304"/>
      <c r="P49" s="304"/>
      <c r="Q49" s="304"/>
      <c r="R49" s="301"/>
    </row>
    <row r="50" spans="1:18" ht="17.25" hidden="1" customHeight="1" x14ac:dyDescent="0.25">
      <c r="A50" s="301"/>
      <c r="B50" s="304"/>
      <c r="C50" s="304"/>
      <c r="D50" s="304"/>
      <c r="E50" s="304"/>
      <c r="F50" s="304"/>
      <c r="G50" s="304"/>
      <c r="H50" s="304"/>
      <c r="I50" s="304"/>
      <c r="J50" s="304"/>
      <c r="K50" s="304"/>
      <c r="L50" s="304"/>
      <c r="M50" s="304"/>
      <c r="N50" s="304"/>
      <c r="O50" s="304"/>
      <c r="P50" s="304"/>
      <c r="Q50" s="304"/>
      <c r="R50" s="301"/>
    </row>
    <row r="51" spans="1:18" ht="17.25" hidden="1" customHeight="1" x14ac:dyDescent="0.25">
      <c r="A51" s="301"/>
      <c r="B51" s="304"/>
      <c r="C51" s="304"/>
      <c r="D51" s="304"/>
      <c r="E51" s="304"/>
      <c r="F51" s="304"/>
      <c r="G51" s="304"/>
      <c r="H51" s="304"/>
      <c r="I51" s="304"/>
      <c r="J51" s="304"/>
      <c r="K51" s="304"/>
      <c r="L51" s="304"/>
      <c r="M51" s="304"/>
      <c r="N51" s="304"/>
      <c r="O51" s="304"/>
      <c r="P51" s="304"/>
      <c r="Q51" s="304"/>
      <c r="R51" s="301"/>
    </row>
    <row r="52" spans="1:18" ht="17.25" hidden="1" customHeight="1" x14ac:dyDescent="0.25">
      <c r="A52" s="301"/>
      <c r="B52" s="304"/>
      <c r="C52" s="304"/>
      <c r="D52" s="304"/>
      <c r="E52" s="304"/>
      <c r="F52" s="304"/>
      <c r="G52" s="304"/>
      <c r="H52" s="304"/>
      <c r="I52" s="304"/>
      <c r="J52" s="304"/>
      <c r="K52" s="304"/>
      <c r="L52" s="304"/>
      <c r="M52" s="304"/>
      <c r="N52" s="304"/>
      <c r="O52" s="304"/>
      <c r="P52" s="304"/>
      <c r="Q52" s="304"/>
      <c r="R52" s="301"/>
    </row>
    <row r="53" spans="1:18" ht="17.25" hidden="1" customHeight="1" x14ac:dyDescent="0.25">
      <c r="A53" s="301"/>
      <c r="B53" s="304"/>
      <c r="C53" s="304"/>
      <c r="D53" s="304"/>
      <c r="E53" s="304"/>
      <c r="F53" s="304"/>
      <c r="G53" s="304"/>
      <c r="H53" s="304"/>
      <c r="I53" s="304"/>
      <c r="J53" s="304"/>
      <c r="K53" s="304"/>
      <c r="L53" s="304"/>
      <c r="M53" s="304"/>
      <c r="N53" s="304"/>
      <c r="O53" s="304"/>
      <c r="P53" s="304"/>
      <c r="Q53" s="304"/>
      <c r="R53" s="301"/>
    </row>
    <row r="54" spans="1:18" ht="15" hidden="1" customHeight="1" x14ac:dyDescent="0.25"/>
    <row r="55" spans="1:18" ht="15" hidden="1" customHeight="1" x14ac:dyDescent="0.25"/>
    <row r="56" spans="1:18" ht="15" hidden="1" customHeight="1" x14ac:dyDescent="0.25"/>
    <row r="57" spans="1:18" ht="15" hidden="1" customHeight="1" x14ac:dyDescent="0.25"/>
    <row r="58" spans="1:18" ht="15" hidden="1" customHeight="1" x14ac:dyDescent="0.25"/>
    <row r="59" spans="1:18" ht="15" hidden="1" customHeight="1" x14ac:dyDescent="0.25"/>
    <row r="60" spans="1:18" ht="15" hidden="1" customHeight="1" x14ac:dyDescent="0.25"/>
    <row r="61" spans="1:18" ht="15" hidden="1" customHeight="1" x14ac:dyDescent="0.25"/>
    <row r="62" spans="1:18" ht="15" hidden="1" customHeight="1" x14ac:dyDescent="0.25"/>
    <row r="63" spans="1:18" ht="15" hidden="1" customHeight="1" x14ac:dyDescent="0.25"/>
    <row r="64" spans="1:18"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sheetData>
  <sheetProtection algorithmName="SHA-512" hashValue="4C2skPQVK0HVz1qEVOJfcdq38qzPtgrDuiTCze2y6/wvlJjl1Loz2bBUiIDBxrHnvE+Ys4nMo86fVxAk9tIFfA==" saltValue="gH1h5fpP+kyICcn/7n3fFA==" spinCount="100000" sheet="1" objects="1" scenarios="1"/>
  <mergeCells count="16">
    <mergeCell ref="H40:I40"/>
    <mergeCell ref="J40:K40"/>
    <mergeCell ref="H41:I41"/>
    <mergeCell ref="A1:I1"/>
    <mergeCell ref="B2:E2"/>
    <mergeCell ref="B3:E3"/>
    <mergeCell ref="B4:E4"/>
    <mergeCell ref="B41:D41"/>
    <mergeCell ref="E41:G41"/>
    <mergeCell ref="E40:G40"/>
    <mergeCell ref="B40:D40"/>
    <mergeCell ref="J2:K2"/>
    <mergeCell ref="K1:P1"/>
    <mergeCell ref="J41:K41"/>
    <mergeCell ref="L40:M40"/>
    <mergeCell ref="L41:M41"/>
  </mergeCells>
  <hyperlinks>
    <hyperlink ref="B3" location="Instructions!B16" tooltip="How to use this tool?" display="2. How to use this tool?"/>
    <hyperlink ref="B2" location="Instructions!B8" tooltip="General" display="1. General"/>
    <hyperlink ref="B4" location="Instructions!B35" tooltip="LOTUS Homes Submissions" display="3. LOTUS Homes Submissions"/>
    <hyperlink ref="B4:E4" location="Recommendations!B31" tooltip="Credit Compliance" display="3. Credit Compliance"/>
    <hyperlink ref="B3:E3" location="Recommendations!B17" tooltip="Selection of targeted credits" display="2. Selection of targeted credits"/>
    <hyperlink ref="B2:E2" location="Recommendations!B9" tooltip="Project and Objectives" display="1. Define the project and objectives"/>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984806"/>
  </sheetPr>
  <dimension ref="A1:M54"/>
  <sheetViews>
    <sheetView showRowColHeaders="0" zoomScale="90" zoomScaleNormal="90" workbookViewId="0">
      <selection activeCell="K2" sqref="K2"/>
    </sheetView>
  </sheetViews>
  <sheetFormatPr defaultColWidth="0" defaultRowHeight="0" customHeight="1" zeroHeight="1" x14ac:dyDescent="0.25"/>
  <cols>
    <col min="1" max="1" width="5.7109375" customWidth="1"/>
    <col min="2" max="2" width="33.42578125" customWidth="1"/>
    <col min="3" max="3" width="3.7109375" customWidth="1"/>
    <col min="4" max="4" width="11.7109375" customWidth="1"/>
    <col min="5" max="6" width="20.5703125" customWidth="1"/>
    <col min="7" max="8" width="19.7109375" customWidth="1"/>
    <col min="9" max="9" width="8.7109375" customWidth="1"/>
    <col min="10" max="10" width="8" customWidth="1"/>
    <col min="11" max="11" width="2.85546875" customWidth="1"/>
    <col min="12" max="12" width="5.28515625" customWidth="1"/>
    <col min="13" max="16384" width="9.140625" hidden="1"/>
  </cols>
  <sheetData>
    <row r="1" spans="1:13" ht="31.5" customHeight="1" x14ac:dyDescent="0.25">
      <c r="A1" s="333"/>
      <c r="B1" s="2059" t="s">
        <v>143</v>
      </c>
      <c r="C1" s="334"/>
      <c r="D1" s="342"/>
      <c r="E1" s="343"/>
      <c r="F1" s="343"/>
      <c r="G1" s="343"/>
      <c r="H1" s="343"/>
      <c r="I1" s="343"/>
      <c r="J1" s="343"/>
      <c r="K1" s="343"/>
      <c r="L1" s="344"/>
      <c r="M1" s="343"/>
    </row>
    <row r="2" spans="1:13" ht="24.75" customHeight="1" x14ac:dyDescent="0.25">
      <c r="A2" s="335"/>
      <c r="B2" s="2060"/>
      <c r="C2" s="336"/>
      <c r="D2" s="345"/>
      <c r="E2" s="346"/>
      <c r="F2" s="346"/>
      <c r="G2" s="346"/>
      <c r="H2" s="346"/>
      <c r="I2" s="346"/>
      <c r="J2" s="346"/>
      <c r="K2" s="346"/>
      <c r="L2" s="347"/>
      <c r="M2" s="346"/>
    </row>
    <row r="3" spans="1:13" ht="24.75" customHeight="1" x14ac:dyDescent="0.25">
      <c r="A3" s="335"/>
      <c r="B3" s="2060"/>
      <c r="C3" s="336"/>
      <c r="D3" s="345"/>
      <c r="E3" s="346"/>
      <c r="F3" s="346"/>
      <c r="G3" s="346"/>
      <c r="H3" s="346"/>
      <c r="I3" s="346"/>
      <c r="J3" s="346"/>
      <c r="K3" s="346"/>
      <c r="L3" s="347"/>
      <c r="M3" s="346"/>
    </row>
    <row r="4" spans="1:13" ht="18.75" customHeight="1" x14ac:dyDescent="0.25">
      <c r="A4" s="335"/>
      <c r="B4" s="2068" t="str">
        <f>IF(A1="","To increase the awareness of how buildings affect the community and to ensure that, throughout the project, all targets set up are competently and effectively managed.","Nhằm đảm bảo rằng, các mục tiêu đặt ra trong từng bước của quá trình xây dựng (thiết kế, xây dựng, vận hành thử nghiệm và vận hành chính thức) được quản lý đẩy đủ và hiệu quả.")</f>
        <v>To increase the awareness of how buildings affect the community and to ensure that, throughout the project, all targets set up are competently and effectively managed.</v>
      </c>
      <c r="C4" s="337"/>
      <c r="D4" s="345"/>
      <c r="E4" s="2061" t="s">
        <v>391</v>
      </c>
      <c r="F4" s="2062"/>
      <c r="G4" s="2065" t="s">
        <v>392</v>
      </c>
      <c r="H4" s="2065" t="s">
        <v>56</v>
      </c>
      <c r="I4" s="346"/>
      <c r="J4" s="346"/>
      <c r="K4" s="346"/>
      <c r="L4" s="347"/>
      <c r="M4" s="346"/>
    </row>
    <row r="5" spans="1:13" ht="15" customHeight="1" x14ac:dyDescent="0.25">
      <c r="A5" s="335"/>
      <c r="B5" s="2068"/>
      <c r="C5" s="338"/>
      <c r="D5" s="345"/>
      <c r="E5" s="2063"/>
      <c r="F5" s="2064"/>
      <c r="G5" s="2065"/>
      <c r="H5" s="2065"/>
      <c r="I5" s="346"/>
      <c r="J5" s="346"/>
      <c r="K5" s="346"/>
      <c r="L5" s="347"/>
      <c r="M5" s="346"/>
    </row>
    <row r="6" spans="1:13" ht="21.75" customHeight="1" x14ac:dyDescent="0.25">
      <c r="A6" s="335"/>
      <c r="B6" s="2068"/>
      <c r="C6" s="338"/>
      <c r="D6" s="345"/>
      <c r="E6" s="2066" t="s">
        <v>142</v>
      </c>
      <c r="F6" s="2067"/>
      <c r="G6" s="183">
        <v>1</v>
      </c>
      <c r="H6" s="183">
        <f>'CM-1 Design Stage'!G12</f>
        <v>0</v>
      </c>
      <c r="I6" s="346"/>
      <c r="J6" s="346"/>
      <c r="K6" s="346"/>
      <c r="L6" s="347"/>
      <c r="M6" s="346"/>
    </row>
    <row r="7" spans="1:13" ht="21.75" customHeight="1" x14ac:dyDescent="0.25">
      <c r="A7" s="335"/>
      <c r="B7" s="2068"/>
      <c r="C7" s="338"/>
      <c r="D7" s="345"/>
      <c r="E7" s="2066" t="s">
        <v>141</v>
      </c>
      <c r="F7" s="2067"/>
      <c r="G7" s="183">
        <v>5</v>
      </c>
      <c r="H7" s="183">
        <f>SUM('CM-2 Construction Management'!G12:G16)</f>
        <v>0</v>
      </c>
      <c r="I7" s="346"/>
      <c r="J7" s="346"/>
      <c r="K7" s="346"/>
      <c r="L7" s="347"/>
      <c r="M7" s="346"/>
    </row>
    <row r="8" spans="1:13" ht="21.75" customHeight="1" x14ac:dyDescent="0.25">
      <c r="A8" s="335"/>
      <c r="B8" s="2068"/>
      <c r="C8" s="338"/>
      <c r="D8" s="345"/>
      <c r="E8" s="2066" t="s">
        <v>140</v>
      </c>
      <c r="F8" s="2067"/>
      <c r="G8" s="183">
        <v>1</v>
      </c>
      <c r="H8" s="183">
        <f>'CM-3 Operational Management'!$G$12</f>
        <v>0</v>
      </c>
      <c r="I8" s="346"/>
      <c r="J8" s="346"/>
      <c r="K8" s="346"/>
      <c r="L8" s="347"/>
      <c r="M8" s="346"/>
    </row>
    <row r="9" spans="1:13" ht="21.75" customHeight="1" x14ac:dyDescent="0.25">
      <c r="A9" s="339"/>
      <c r="B9" s="2068"/>
      <c r="C9" s="338"/>
      <c r="D9" s="345"/>
      <c r="E9" s="2066" t="s">
        <v>393</v>
      </c>
      <c r="F9" s="2067"/>
      <c r="G9" s="183">
        <v>3</v>
      </c>
      <c r="H9" s="183">
        <f>SUM('CM BPC'!G11:G13)</f>
        <v>0</v>
      </c>
      <c r="I9" s="346"/>
      <c r="J9" s="346"/>
      <c r="K9" s="346"/>
      <c r="L9" s="347"/>
      <c r="M9" s="346"/>
    </row>
    <row r="10" spans="1:13" ht="23.25" customHeight="1" x14ac:dyDescent="0.25">
      <c r="A10" s="339"/>
      <c r="B10" s="2068"/>
      <c r="C10" s="338"/>
      <c r="D10" s="345"/>
      <c r="E10" s="126" t="s">
        <v>82</v>
      </c>
      <c r="F10" s="124"/>
      <c r="G10" s="125">
        <f>SUM(G6:G9)</f>
        <v>10</v>
      </c>
      <c r="H10" s="125">
        <f>SUM(H6:H9)</f>
        <v>0</v>
      </c>
      <c r="I10" s="346"/>
      <c r="J10" s="346"/>
      <c r="K10" s="346"/>
      <c r="L10" s="347"/>
      <c r="M10" s="346"/>
    </row>
    <row r="11" spans="1:13" ht="15" customHeight="1" x14ac:dyDescent="0.25">
      <c r="A11" s="339"/>
      <c r="B11" s="351"/>
      <c r="C11" s="338"/>
      <c r="D11" s="345"/>
      <c r="E11" s="346"/>
      <c r="F11" s="346"/>
      <c r="G11" s="346"/>
      <c r="H11" s="346"/>
      <c r="I11" s="346"/>
      <c r="J11" s="346"/>
      <c r="K11" s="346"/>
      <c r="L11" s="347"/>
      <c r="M11" s="346"/>
    </row>
    <row r="12" spans="1:13" ht="15" customHeight="1" x14ac:dyDescent="0.25">
      <c r="A12" s="339"/>
      <c r="B12" s="351"/>
      <c r="C12" s="338"/>
      <c r="D12" s="345"/>
      <c r="E12" s="346"/>
      <c r="F12" s="346"/>
      <c r="G12" s="346"/>
      <c r="H12" s="346"/>
      <c r="I12" s="346"/>
      <c r="J12" s="346"/>
      <c r="K12" s="346"/>
      <c r="L12" s="347"/>
      <c r="M12" s="346"/>
    </row>
    <row r="13" spans="1:13" ht="19.5" customHeight="1" x14ac:dyDescent="0.25">
      <c r="A13" s="340"/>
      <c r="B13" s="352"/>
      <c r="C13" s="341"/>
      <c r="D13" s="348"/>
      <c r="E13" s="349"/>
      <c r="F13" s="349"/>
      <c r="G13" s="349"/>
      <c r="H13" s="349"/>
      <c r="I13" s="349"/>
      <c r="J13" s="349"/>
      <c r="K13" s="349"/>
      <c r="L13" s="350"/>
      <c r="M13" s="349"/>
    </row>
    <row r="14" spans="1:13" ht="15" hidden="1" customHeight="1" x14ac:dyDescent="0.25"/>
    <row r="15" spans="1:13" ht="15" hidden="1" customHeight="1" x14ac:dyDescent="0.25"/>
    <row r="16" spans="1:13" ht="15" hidden="1" customHeight="1" x14ac:dyDescent="0.25"/>
    <row r="17" ht="15" hidden="1" customHeight="1" x14ac:dyDescent="0.25"/>
    <row r="18" ht="15" hidden="1" customHeight="1" x14ac:dyDescent="0.25"/>
    <row r="19" ht="15" hidden="1" customHeight="1" x14ac:dyDescent="0.25"/>
    <row r="20" ht="15" hidden="1" customHeight="1" x14ac:dyDescent="0.25"/>
    <row r="21" ht="15" hidden="1" customHeight="1" x14ac:dyDescent="0.25"/>
    <row r="22" ht="15" hidden="1" customHeight="1" x14ac:dyDescent="0.25"/>
    <row r="23" ht="15" hidden="1" customHeight="1" x14ac:dyDescent="0.25"/>
    <row r="24" ht="15" hidden="1" customHeight="1" x14ac:dyDescent="0.25"/>
    <row r="25" ht="15" hidden="1" customHeight="1" x14ac:dyDescent="0.25"/>
    <row r="26" ht="15" hidden="1" customHeight="1" x14ac:dyDescent="0.25"/>
    <row r="27" ht="15" hidden="1" customHeight="1" x14ac:dyDescent="0.25"/>
    <row r="28" ht="15" hidden="1" customHeight="1" x14ac:dyDescent="0.25"/>
    <row r="29" ht="15" hidden="1" customHeight="1" x14ac:dyDescent="0.25"/>
    <row r="30" ht="15" hidden="1" customHeight="1" x14ac:dyDescent="0.25"/>
    <row r="31" ht="15" hidden="1" customHeight="1" x14ac:dyDescent="0.25"/>
    <row r="32"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sheetData>
  <sheetProtection algorithmName="SHA-512" hashValue="VBtAc8BhRJK+jul91w9J6YwUocQUyM+yA5yBbbfoAawEF3Fi8UQpOK00QODzw5v8bTzQ5P8sRT03hmWHMSLQzA==" saltValue="m41ewYHF9yMd6EdFPOt//A==" spinCount="100000" sheet="1" objects="1" scenarios="1"/>
  <mergeCells count="9">
    <mergeCell ref="B1:B3"/>
    <mergeCell ref="E4:F5"/>
    <mergeCell ref="G4:G5"/>
    <mergeCell ref="H4:H5"/>
    <mergeCell ref="E9:F9"/>
    <mergeCell ref="E6:F6"/>
    <mergeCell ref="E7:F7"/>
    <mergeCell ref="E8:F8"/>
    <mergeCell ref="B4:B10"/>
  </mergeCells>
  <hyperlinks>
    <hyperlink ref="E6" location="'CM-1 Design Stage'!A1" tooltip="CM-1 Design Stage" display="CM-1 Design Stage"/>
    <hyperlink ref="E7" location="'CM-2 Construction Management'!A1" tooltip="CM-2 Construction Management" display="CM-2 Construction Management"/>
    <hyperlink ref="E8" location="'CM-3 Operational Management'!A1" tooltip="CM-3 Operational Management" display="CM-3 Operational Management"/>
    <hyperlink ref="E9:F9" location="'CM BPC'!B3" tooltip="Best Practice Credits" display="Best Practice Credits"/>
    <hyperlink ref="E6:F6" location="'CM-1 Design Stage'!C3" tooltip="CM-1 Design Stage" display="CM-1 Design Stage"/>
    <hyperlink ref="E7:F7" location="'CM-2 Construction Management'!B3" tooltip="CM-2 Construction Management" display="CM-2 Construction Management"/>
    <hyperlink ref="E8:F8" location="'CM-3 Operational Management'!C3" tooltip="CM-3 Operational Management" display="CM-3 Operational Management"/>
  </hyperlinks>
  <pageMargins left="0.7" right="0.7" top="0.75" bottom="0.75" header="0.3" footer="0.3"/>
  <pageSetup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84806"/>
  </sheetPr>
  <dimension ref="A1:N80"/>
  <sheetViews>
    <sheetView showRowColHeaders="0" workbookViewId="0">
      <pane ySplit="8" topLeftCell="A9" activePane="bottomLeft" state="frozen"/>
      <selection activeCell="E21" sqref="E21"/>
      <selection pane="bottomLeft" activeCell="G16" sqref="G16"/>
    </sheetView>
  </sheetViews>
  <sheetFormatPr defaultColWidth="0" defaultRowHeight="15" customHeight="1" zeroHeight="1" x14ac:dyDescent="0.25"/>
  <cols>
    <col min="1" max="1" width="5.7109375" style="42" customWidth="1"/>
    <col min="2" max="2" width="18.42578125" style="42" customWidth="1"/>
    <col min="3" max="3" width="17" style="42" customWidth="1"/>
    <col min="4" max="5" width="18.42578125" style="42" customWidth="1"/>
    <col min="6" max="8" width="17.85546875" style="42" customWidth="1"/>
    <col min="9" max="9" width="12.7109375" style="42" customWidth="1"/>
    <col min="10" max="10" width="10.7109375" style="42" customWidth="1"/>
    <col min="11" max="11" width="8.7109375" style="42" customWidth="1"/>
    <col min="12" max="16384" width="9.140625" style="42" hidden="1"/>
  </cols>
  <sheetData>
    <row r="1" spans="1:14" ht="25.5" customHeight="1" x14ac:dyDescent="0.25">
      <c r="A1" s="2081" t="s">
        <v>142</v>
      </c>
      <c r="B1" s="2081"/>
      <c r="C1" s="2081"/>
      <c r="D1" s="2081"/>
      <c r="E1" s="2081"/>
      <c r="F1" s="2081"/>
      <c r="G1" s="2081"/>
      <c r="H1" s="2081"/>
      <c r="I1" s="2081"/>
      <c r="J1" s="2081"/>
      <c r="K1" s="2081"/>
    </row>
    <row r="2" spans="1:14" ht="15" customHeight="1" x14ac:dyDescent="0.25">
      <c r="A2" s="53"/>
      <c r="B2" s="54"/>
      <c r="C2" s="54"/>
      <c r="D2" s="54"/>
      <c r="E2" s="54"/>
      <c r="F2" s="53"/>
      <c r="G2" s="53"/>
      <c r="H2" s="53"/>
      <c r="I2" s="1426" t="s">
        <v>2110</v>
      </c>
      <c r="J2" s="1426"/>
      <c r="K2" s="832" t="s">
        <v>145</v>
      </c>
    </row>
    <row r="3" spans="1:14" ht="15" customHeight="1" x14ac:dyDescent="0.25">
      <c r="A3" s="53"/>
      <c r="B3" s="54"/>
      <c r="C3" s="54"/>
      <c r="D3" s="54"/>
      <c r="E3" s="54"/>
      <c r="F3" s="53"/>
      <c r="G3" s="53"/>
      <c r="H3" s="53"/>
      <c r="I3" s="1426"/>
      <c r="J3" s="1426"/>
      <c r="K3" s="832" t="s">
        <v>146</v>
      </c>
    </row>
    <row r="4" spans="1:14" ht="15" customHeight="1" x14ac:dyDescent="0.25">
      <c r="A4" s="53"/>
      <c r="B4" s="54"/>
      <c r="C4" s="54"/>
      <c r="D4" s="54"/>
      <c r="E4" s="54"/>
      <c r="F4" s="53"/>
      <c r="G4" s="53"/>
      <c r="H4" s="53"/>
      <c r="I4" s="1427"/>
      <c r="J4" s="1427"/>
      <c r="K4" s="832" t="s">
        <v>79</v>
      </c>
    </row>
    <row r="5" spans="1:14" ht="18" customHeight="1" x14ac:dyDescent="0.25">
      <c r="A5" s="1417" t="s">
        <v>2433</v>
      </c>
      <c r="B5" s="1418"/>
      <c r="C5" s="1418"/>
      <c r="D5" s="1418"/>
      <c r="E5" s="1418"/>
      <c r="F5" s="1418"/>
      <c r="G5" s="1418"/>
      <c r="H5" s="1418"/>
      <c r="I5" s="1418"/>
      <c r="J5" s="1418"/>
      <c r="K5" s="1418"/>
      <c r="L5" s="193"/>
      <c r="M5" s="193"/>
      <c r="N5" s="194"/>
    </row>
    <row r="6" spans="1:14" ht="18" customHeight="1" x14ac:dyDescent="0.25">
      <c r="A6" s="1420"/>
      <c r="B6" s="1421"/>
      <c r="C6" s="1421"/>
      <c r="D6" s="1421"/>
      <c r="E6" s="1421"/>
      <c r="F6" s="1421"/>
      <c r="G6" s="1421"/>
      <c r="H6" s="1421"/>
      <c r="I6" s="1421"/>
      <c r="J6" s="1421"/>
      <c r="K6" s="1421"/>
      <c r="L6" s="195"/>
      <c r="M6" s="195"/>
      <c r="N6" s="196"/>
    </row>
    <row r="7" spans="1:14" ht="17.25" customHeight="1" x14ac:dyDescent="0.25">
      <c r="A7" s="1423"/>
      <c r="B7" s="1424"/>
      <c r="C7" s="1424"/>
      <c r="D7" s="1424"/>
      <c r="E7" s="1424"/>
      <c r="F7" s="1424"/>
      <c r="G7" s="1424"/>
      <c r="H7" s="1424"/>
      <c r="I7" s="1424"/>
      <c r="J7" s="1424"/>
      <c r="K7" s="1424"/>
      <c r="L7" s="197"/>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2073" t="s">
        <v>191</v>
      </c>
      <c r="B9" s="2073"/>
      <c r="C9" s="2073"/>
      <c r="D9" s="2073"/>
      <c r="E9" s="2073"/>
      <c r="F9" s="2073"/>
      <c r="G9" s="2073"/>
      <c r="H9" s="2073"/>
      <c r="I9" s="2073"/>
      <c r="J9" s="2073"/>
      <c r="K9" s="2073"/>
    </row>
    <row r="10" spans="1:14" ht="16.5" customHeight="1" x14ac:dyDescent="0.25">
      <c r="A10" s="53"/>
      <c r="B10" s="54"/>
      <c r="C10" s="54"/>
      <c r="D10" s="54"/>
      <c r="E10" s="54"/>
      <c r="F10" s="53"/>
      <c r="G10" s="53"/>
      <c r="H10" s="53"/>
      <c r="I10" s="53"/>
      <c r="J10" s="53"/>
      <c r="K10" s="53"/>
    </row>
    <row r="11" spans="1:14" ht="19.5" customHeight="1" x14ac:dyDescent="0.25">
      <c r="A11" s="53"/>
      <c r="B11" s="2079" t="s">
        <v>192</v>
      </c>
      <c r="C11" s="2080"/>
      <c r="D11" s="2080"/>
      <c r="E11" s="2080"/>
      <c r="F11" s="627" t="s">
        <v>157</v>
      </c>
      <c r="G11" s="627" t="s">
        <v>56</v>
      </c>
      <c r="H11" s="63" t="s">
        <v>521</v>
      </c>
      <c r="I11" s="53"/>
      <c r="J11" s="53"/>
      <c r="K11" s="53"/>
    </row>
    <row r="12" spans="1:14" ht="21" customHeight="1" x14ac:dyDescent="0.25">
      <c r="A12" s="53"/>
      <c r="B12" s="1622" t="s">
        <v>10</v>
      </c>
      <c r="C12" s="1623"/>
      <c r="D12" s="1623"/>
      <c r="E12" s="1624"/>
      <c r="F12" s="298">
        <v>1</v>
      </c>
      <c r="G12" s="298">
        <f>C50</f>
        <v>0</v>
      </c>
      <c r="H12" s="298" t="str">
        <f>C51</f>
        <v>No</v>
      </c>
      <c r="I12" s="53"/>
      <c r="J12" s="53"/>
      <c r="K12" s="53"/>
    </row>
    <row r="13" spans="1:14" ht="16.5" customHeight="1" x14ac:dyDescent="0.25">
      <c r="A13" s="53"/>
      <c r="B13" s="54"/>
      <c r="C13" s="54"/>
      <c r="D13" s="54"/>
      <c r="E13" s="54"/>
      <c r="F13" s="53"/>
      <c r="G13" s="53"/>
      <c r="H13" s="53"/>
      <c r="I13" s="53"/>
      <c r="J13" s="53"/>
      <c r="K13" s="53"/>
    </row>
    <row r="14" spans="1:14" ht="18" customHeight="1" x14ac:dyDescent="0.25">
      <c r="A14" s="2073" t="s">
        <v>265</v>
      </c>
      <c r="B14" s="2073"/>
      <c r="C14" s="2073"/>
      <c r="D14" s="2073"/>
      <c r="E14" s="2073"/>
      <c r="F14" s="2073"/>
      <c r="G14" s="2073"/>
      <c r="H14" s="2073"/>
      <c r="I14" s="2073"/>
      <c r="J14" s="2073"/>
      <c r="K14" s="2073"/>
    </row>
    <row r="15" spans="1:14" x14ac:dyDescent="0.25">
      <c r="A15" s="53"/>
      <c r="B15" s="54"/>
      <c r="C15" s="54"/>
      <c r="D15" s="54"/>
      <c r="E15" s="54"/>
      <c r="F15" s="53"/>
      <c r="G15" s="53"/>
      <c r="H15" s="53"/>
      <c r="I15" s="53"/>
      <c r="J15" s="53"/>
      <c r="K15" s="53"/>
    </row>
    <row r="16" spans="1:14" x14ac:dyDescent="0.25">
      <c r="A16" s="53"/>
      <c r="B16" s="774" t="s">
        <v>1412</v>
      </c>
      <c r="C16" s="54"/>
      <c r="D16" s="54"/>
      <c r="E16" s="54"/>
      <c r="F16" s="53"/>
      <c r="G16" s="53"/>
      <c r="H16" s="53"/>
      <c r="I16" s="53"/>
      <c r="J16" s="53"/>
      <c r="K16" s="53"/>
    </row>
    <row r="17" spans="1:11" x14ac:dyDescent="0.25">
      <c r="A17" s="53"/>
      <c r="B17" s="649"/>
      <c r="C17" s="54"/>
      <c r="D17" s="54"/>
      <c r="E17" s="54"/>
      <c r="F17" s="53"/>
      <c r="G17" s="53"/>
      <c r="H17" s="53"/>
      <c r="I17" s="53"/>
      <c r="J17" s="53"/>
      <c r="K17" s="53"/>
    </row>
    <row r="18" spans="1:11" x14ac:dyDescent="0.25">
      <c r="A18" s="53"/>
      <c r="B18" s="2074" t="s">
        <v>1411</v>
      </c>
      <c r="C18" s="2074"/>
      <c r="D18" s="2074"/>
      <c r="E18" s="2074"/>
      <c r="F18" s="2074"/>
      <c r="G18" s="2074"/>
      <c r="H18" s="2074"/>
      <c r="I18" s="2074"/>
      <c r="J18" s="53"/>
      <c r="K18" s="53"/>
    </row>
    <row r="19" spans="1:11" x14ac:dyDescent="0.25">
      <c r="A19" s="53"/>
      <c r="B19" s="2074"/>
      <c r="C19" s="2074"/>
      <c r="D19" s="2074"/>
      <c r="E19" s="2074"/>
      <c r="F19" s="2074"/>
      <c r="G19" s="2074"/>
      <c r="H19" s="2074"/>
      <c r="I19" s="2074"/>
      <c r="J19" s="53"/>
      <c r="K19" s="53"/>
    </row>
    <row r="20" spans="1:11" x14ac:dyDescent="0.25">
      <c r="A20" s="53"/>
      <c r="B20" s="2074"/>
      <c r="C20" s="2074"/>
      <c r="D20" s="2074"/>
      <c r="E20" s="2074"/>
      <c r="F20" s="2074"/>
      <c r="G20" s="2074"/>
      <c r="H20" s="2074"/>
      <c r="I20" s="2074"/>
      <c r="J20" s="53"/>
      <c r="K20" s="53"/>
    </row>
    <row r="21" spans="1:11" ht="19.5" customHeight="1" x14ac:dyDescent="0.25">
      <c r="A21" s="53"/>
      <c r="B21" s="54"/>
      <c r="C21" s="54"/>
      <c r="D21" s="54"/>
      <c r="E21" s="54"/>
      <c r="F21" s="53"/>
      <c r="G21" s="53"/>
      <c r="H21" s="53"/>
      <c r="I21" s="53"/>
      <c r="J21" s="53"/>
      <c r="K21" s="53"/>
    </row>
    <row r="22" spans="1:11" x14ac:dyDescent="0.25">
      <c r="A22" s="53"/>
      <c r="B22" s="773" t="s">
        <v>1410</v>
      </c>
      <c r="C22" s="54"/>
      <c r="D22" s="54"/>
      <c r="E22" s="54"/>
      <c r="F22" s="53"/>
      <c r="G22" s="53"/>
      <c r="H22" s="53"/>
      <c r="I22" s="53"/>
      <c r="J22" s="53"/>
      <c r="K22" s="53"/>
    </row>
    <row r="23" spans="1:11" ht="9" customHeight="1" x14ac:dyDescent="0.25">
      <c r="A23" s="53"/>
      <c r="B23" s="54"/>
      <c r="C23" s="54"/>
      <c r="D23" s="54"/>
      <c r="E23" s="54"/>
      <c r="F23" s="53"/>
      <c r="G23" s="53"/>
      <c r="H23" s="53"/>
      <c r="I23" s="53"/>
      <c r="J23" s="53"/>
      <c r="K23" s="53"/>
    </row>
    <row r="24" spans="1:11" ht="15" customHeight="1" x14ac:dyDescent="0.25">
      <c r="A24" s="53"/>
      <c r="B24" s="222" t="s">
        <v>266</v>
      </c>
      <c r="C24" s="54"/>
      <c r="D24" s="54"/>
      <c r="E24" s="54"/>
      <c r="F24" s="53"/>
      <c r="G24" s="53"/>
      <c r="H24" s="53"/>
      <c r="I24" s="53"/>
      <c r="J24" s="53"/>
      <c r="K24" s="53"/>
    </row>
    <row r="25" spans="1:11" ht="18" customHeight="1" x14ac:dyDescent="0.25">
      <c r="A25" s="53"/>
      <c r="B25" s="287" t="s">
        <v>205</v>
      </c>
      <c r="C25" s="1781"/>
      <c r="D25" s="1782"/>
      <c r="E25" s="53"/>
      <c r="F25" s="53"/>
      <c r="G25" s="53"/>
      <c r="H25" s="53"/>
      <c r="I25" s="53"/>
      <c r="J25" s="53"/>
      <c r="K25" s="53"/>
    </row>
    <row r="26" spans="1:11" ht="18" customHeight="1" x14ac:dyDescent="0.25">
      <c r="A26" s="53"/>
      <c r="B26" s="287" t="s">
        <v>267</v>
      </c>
      <c r="C26" s="1781"/>
      <c r="D26" s="1782"/>
      <c r="E26" s="53"/>
      <c r="F26" s="53"/>
      <c r="G26" s="53"/>
      <c r="H26" s="53"/>
      <c r="I26" s="53"/>
      <c r="J26" s="53"/>
      <c r="K26" s="53"/>
    </row>
    <row r="27" spans="1:11" ht="12" customHeight="1" x14ac:dyDescent="0.25">
      <c r="A27" s="53"/>
      <c r="B27" s="53"/>
      <c r="C27" s="53"/>
      <c r="D27" s="53"/>
      <c r="E27" s="53"/>
      <c r="F27" s="53"/>
      <c r="G27" s="53"/>
      <c r="H27" s="53"/>
      <c r="I27" s="53"/>
      <c r="J27" s="53"/>
      <c r="K27" s="53"/>
    </row>
    <row r="28" spans="1:11" ht="14.25" customHeight="1" x14ac:dyDescent="0.25">
      <c r="A28" s="53"/>
      <c r="B28" s="222" t="s">
        <v>268</v>
      </c>
      <c r="C28" s="207"/>
      <c r="D28" s="207"/>
      <c r="E28" s="207"/>
      <c r="F28" s="207"/>
      <c r="G28" s="207"/>
      <c r="H28" s="207"/>
      <c r="I28" s="207"/>
      <c r="J28" s="207"/>
      <c r="K28" s="53"/>
    </row>
    <row r="29" spans="1:11" ht="19.5" customHeight="1" x14ac:dyDescent="0.25">
      <c r="A29" s="53"/>
      <c r="B29" s="2077" t="s">
        <v>269</v>
      </c>
      <c r="C29" s="2078"/>
      <c r="D29" s="2077" t="s">
        <v>270</v>
      </c>
      <c r="E29" s="2078"/>
      <c r="F29" s="53"/>
      <c r="G29" s="53"/>
      <c r="H29" s="53"/>
      <c r="I29" s="53"/>
      <c r="J29" s="53"/>
      <c r="K29" s="53"/>
    </row>
    <row r="30" spans="1:11" ht="16.5" customHeight="1" x14ac:dyDescent="0.25">
      <c r="A30" s="53"/>
      <c r="B30" s="1781"/>
      <c r="C30" s="1782"/>
      <c r="D30" s="1781"/>
      <c r="E30" s="1782"/>
      <c r="F30" s="53"/>
      <c r="G30" s="53"/>
      <c r="H30" s="53"/>
      <c r="I30" s="53"/>
      <c r="J30" s="53"/>
      <c r="K30" s="53"/>
    </row>
    <row r="31" spans="1:11" ht="16.5" customHeight="1" x14ac:dyDescent="0.25">
      <c r="A31" s="53"/>
      <c r="B31" s="1781"/>
      <c r="C31" s="1782"/>
      <c r="D31" s="1781"/>
      <c r="E31" s="1782"/>
      <c r="F31" s="53"/>
      <c r="G31" s="53"/>
      <c r="H31" s="53"/>
      <c r="I31" s="53"/>
      <c r="J31" s="53"/>
      <c r="K31" s="53"/>
    </row>
    <row r="32" spans="1:11" ht="16.5" customHeight="1" x14ac:dyDescent="0.25">
      <c r="A32" s="53"/>
      <c r="B32" s="1781"/>
      <c r="C32" s="1782"/>
      <c r="D32" s="1781"/>
      <c r="E32" s="1782"/>
      <c r="F32" s="53"/>
      <c r="G32" s="53"/>
      <c r="H32" s="53"/>
      <c r="I32" s="53"/>
      <c r="J32" s="53"/>
      <c r="K32" s="53"/>
    </row>
    <row r="33" spans="1:11" ht="16.5" customHeight="1" x14ac:dyDescent="0.25">
      <c r="A33" s="53"/>
      <c r="B33" s="1781"/>
      <c r="C33" s="1782"/>
      <c r="D33" s="1781"/>
      <c r="E33" s="1782"/>
      <c r="F33" s="53"/>
      <c r="G33" s="53"/>
      <c r="H33" s="53"/>
      <c r="I33" s="53"/>
      <c r="J33" s="53"/>
      <c r="K33" s="53"/>
    </row>
    <row r="34" spans="1:11" ht="16.5" customHeight="1" x14ac:dyDescent="0.25">
      <c r="A34" s="53"/>
      <c r="B34" s="1781"/>
      <c r="C34" s="1782"/>
      <c r="D34" s="1781"/>
      <c r="E34" s="1782"/>
      <c r="F34" s="53"/>
      <c r="G34" s="53"/>
      <c r="H34" s="53"/>
      <c r="I34" s="53"/>
      <c r="J34" s="53"/>
      <c r="K34" s="53"/>
    </row>
    <row r="35" spans="1:11" ht="16.5" customHeight="1" x14ac:dyDescent="0.25">
      <c r="A35" s="53"/>
      <c r="B35" s="1781"/>
      <c r="C35" s="1782"/>
      <c r="D35" s="1781"/>
      <c r="E35" s="1782"/>
      <c r="F35" s="53"/>
      <c r="G35" s="53"/>
      <c r="H35" s="53"/>
      <c r="I35" s="53"/>
      <c r="J35" s="53"/>
      <c r="K35" s="53"/>
    </row>
    <row r="36" spans="1:11" x14ac:dyDescent="0.25">
      <c r="A36" s="53"/>
      <c r="B36" s="54"/>
      <c r="C36" s="54"/>
      <c r="D36" s="54"/>
      <c r="E36" s="54"/>
      <c r="F36" s="53"/>
      <c r="G36" s="53"/>
      <c r="H36" s="53"/>
      <c r="I36" s="53"/>
      <c r="J36" s="53"/>
      <c r="K36" s="53"/>
    </row>
    <row r="37" spans="1:11" ht="15.75" customHeight="1" x14ac:dyDescent="0.25">
      <c r="A37" s="53"/>
      <c r="B37" s="222" t="s">
        <v>594</v>
      </c>
      <c r="C37" s="54"/>
      <c r="D37" s="54"/>
      <c r="E37" s="54"/>
      <c r="F37" s="53"/>
      <c r="G37" s="53"/>
      <c r="H37" s="53"/>
      <c r="I37" s="53"/>
      <c r="J37" s="53"/>
      <c r="K37" s="53"/>
    </row>
    <row r="38" spans="1:11" ht="51" customHeight="1" x14ac:dyDescent="0.25">
      <c r="A38" s="53"/>
      <c r="B38" s="2069"/>
      <c r="C38" s="2070"/>
      <c r="D38" s="2070"/>
      <c r="E38" s="2070"/>
      <c r="F38" s="2070"/>
      <c r="G38" s="2070"/>
      <c r="H38" s="2070"/>
      <c r="I38" s="2070"/>
      <c r="J38" s="53"/>
      <c r="K38" s="53"/>
    </row>
    <row r="39" spans="1:11" ht="18" customHeight="1" x14ac:dyDescent="0.25">
      <c r="A39" s="53"/>
      <c r="B39" s="54"/>
      <c r="C39" s="54"/>
      <c r="D39" s="54"/>
      <c r="E39" s="54"/>
      <c r="F39" s="53"/>
      <c r="G39" s="53"/>
      <c r="H39" s="53"/>
      <c r="I39" s="53"/>
      <c r="J39" s="53"/>
      <c r="K39" s="53"/>
    </row>
    <row r="40" spans="1:11" ht="18" customHeight="1" x14ac:dyDescent="0.25">
      <c r="A40" s="53"/>
      <c r="B40" s="2082" t="s">
        <v>271</v>
      </c>
      <c r="C40" s="2082"/>
      <c r="D40" s="285" t="str">
        <f>IF(AND(C25&lt;&gt;"",C26&lt;&gt;"",COUNTIF(B30:C35,"&gt;&lt;")&gt;=2,B38&lt;&gt;""),"Yes","No")</f>
        <v>No</v>
      </c>
      <c r="E40" s="53"/>
      <c r="F40" s="53"/>
      <c r="G40" s="53"/>
      <c r="H40" s="53"/>
      <c r="I40" s="53"/>
      <c r="J40" s="53"/>
      <c r="K40" s="53"/>
    </row>
    <row r="41" spans="1:11" ht="18.75" customHeight="1" x14ac:dyDescent="0.25">
      <c r="A41" s="53"/>
      <c r="B41" s="54"/>
      <c r="C41" s="54"/>
      <c r="D41" s="54"/>
      <c r="E41" s="53"/>
      <c r="F41" s="53"/>
      <c r="G41" s="53"/>
      <c r="H41" s="53"/>
      <c r="I41" s="53"/>
      <c r="J41" s="53"/>
      <c r="K41" s="53"/>
    </row>
    <row r="42" spans="1:11" ht="18" customHeight="1" x14ac:dyDescent="0.25">
      <c r="A42" s="2073" t="s">
        <v>200</v>
      </c>
      <c r="B42" s="2073"/>
      <c r="C42" s="2073"/>
      <c r="D42" s="2073"/>
      <c r="E42" s="2073"/>
      <c r="F42" s="2073"/>
      <c r="G42" s="2073"/>
      <c r="H42" s="2073"/>
      <c r="I42" s="2073"/>
      <c r="J42" s="2073"/>
      <c r="K42" s="2073"/>
    </row>
    <row r="43" spans="1:11" x14ac:dyDescent="0.25">
      <c r="A43" s="53"/>
      <c r="B43" s="54"/>
      <c r="C43" s="54"/>
      <c r="D43" s="54"/>
      <c r="E43" s="53"/>
      <c r="F43" s="53"/>
      <c r="G43" s="53"/>
      <c r="H43" s="53"/>
      <c r="I43" s="53"/>
      <c r="J43" s="53"/>
      <c r="K43" s="53"/>
    </row>
    <row r="44" spans="1:11" ht="18" customHeight="1" x14ac:dyDescent="0.25">
      <c r="A44" s="53"/>
      <c r="B44" s="2071" t="s">
        <v>2103</v>
      </c>
      <c r="C44" s="2072"/>
      <c r="D44" s="2072"/>
      <c r="E44" s="2072"/>
      <c r="F44" s="2072"/>
      <c r="G44" s="1085" t="s">
        <v>2101</v>
      </c>
      <c r="H44" s="2075" t="s">
        <v>2102</v>
      </c>
      <c r="I44" s="2076"/>
      <c r="J44" s="53"/>
      <c r="K44" s="53"/>
    </row>
    <row r="45" spans="1:11" ht="18.75" customHeight="1" x14ac:dyDescent="0.25">
      <c r="A45" s="53"/>
      <c r="B45" s="2041" t="s">
        <v>1222</v>
      </c>
      <c r="C45" s="2042"/>
      <c r="D45" s="2042"/>
      <c r="E45" s="2042"/>
      <c r="F45" s="2043"/>
      <c r="G45" s="518" t="s">
        <v>129</v>
      </c>
      <c r="H45" s="1730"/>
      <c r="I45" s="1729"/>
      <c r="J45" s="53"/>
      <c r="K45" s="53"/>
    </row>
    <row r="46" spans="1:11" ht="18.75" customHeight="1" x14ac:dyDescent="0.25">
      <c r="A46" s="53"/>
      <c r="B46" s="2041" t="s">
        <v>1223</v>
      </c>
      <c r="C46" s="2042"/>
      <c r="D46" s="2042"/>
      <c r="E46" s="2042"/>
      <c r="F46" s="2043"/>
      <c r="G46" s="518" t="s">
        <v>129</v>
      </c>
      <c r="H46" s="1730"/>
      <c r="I46" s="1729"/>
      <c r="J46" s="53"/>
      <c r="K46" s="53"/>
    </row>
    <row r="47" spans="1:11" ht="19.5" customHeight="1" x14ac:dyDescent="0.25">
      <c r="A47" s="53"/>
      <c r="B47" s="54"/>
      <c r="C47" s="54"/>
      <c r="D47" s="54"/>
      <c r="E47" s="53"/>
      <c r="F47" s="53"/>
      <c r="G47" s="53"/>
      <c r="H47" s="53"/>
      <c r="I47" s="53"/>
      <c r="J47" s="53"/>
      <c r="K47" s="53"/>
    </row>
    <row r="48" spans="1:11" ht="18" customHeight="1" x14ac:dyDescent="0.25">
      <c r="A48" s="2073" t="s">
        <v>25</v>
      </c>
      <c r="B48" s="2073"/>
      <c r="C48" s="2073"/>
      <c r="D48" s="2073"/>
      <c r="E48" s="2073"/>
      <c r="F48" s="2073"/>
      <c r="G48" s="2073"/>
      <c r="H48" s="2073"/>
      <c r="I48" s="2073"/>
      <c r="J48" s="2073"/>
      <c r="K48" s="2073"/>
    </row>
    <row r="49" spans="1:11" ht="16.5" customHeight="1" x14ac:dyDescent="0.25">
      <c r="A49" s="53"/>
      <c r="B49" s="54"/>
      <c r="C49" s="54"/>
      <c r="D49" s="54"/>
      <c r="E49" s="54"/>
      <c r="F49" s="53"/>
      <c r="G49" s="53"/>
      <c r="H49" s="53"/>
      <c r="I49" s="53"/>
      <c r="J49" s="53"/>
      <c r="K49" s="53"/>
    </row>
    <row r="50" spans="1:11" ht="18" customHeight="1" x14ac:dyDescent="0.25">
      <c r="A50" s="53"/>
      <c r="B50" s="284" t="s">
        <v>56</v>
      </c>
      <c r="C50" s="12">
        <f>IF(D40="Yes",1,0)</f>
        <v>0</v>
      </c>
      <c r="D50" s="54"/>
      <c r="E50" s="53"/>
      <c r="F50" s="53"/>
      <c r="G50" s="53"/>
      <c r="H50" s="53"/>
      <c r="I50" s="53"/>
      <c r="J50" s="53"/>
      <c r="K50" s="53"/>
    </row>
    <row r="51" spans="1:11" ht="18" customHeight="1" x14ac:dyDescent="0.25">
      <c r="A51" s="53"/>
      <c r="B51" s="284" t="s">
        <v>521</v>
      </c>
      <c r="C51" s="203" t="str">
        <f>IF(AND(COUNTIF(G45:G46,"Submitted")=2,C50&gt;0),"Yes","No")</f>
        <v>No</v>
      </c>
      <c r="D51" s="54"/>
      <c r="E51" s="54"/>
      <c r="F51" s="53"/>
      <c r="G51" s="53"/>
      <c r="H51" s="53"/>
      <c r="I51" s="53"/>
      <c r="J51" s="53"/>
      <c r="K51" s="53"/>
    </row>
    <row r="52" spans="1:11" ht="19.5" customHeight="1" x14ac:dyDescent="0.25">
      <c r="A52" s="53"/>
      <c r="B52" s="54"/>
      <c r="C52" s="54"/>
      <c r="D52" s="54"/>
      <c r="E52" s="54"/>
      <c r="F52" s="53"/>
      <c r="G52" s="53"/>
      <c r="H52" s="53"/>
      <c r="I52" s="53"/>
      <c r="J52" s="53"/>
      <c r="K52" s="53"/>
    </row>
    <row r="53" spans="1:11" hidden="1" x14ac:dyDescent="0.25">
      <c r="J53" s="53"/>
      <c r="K53" s="53"/>
    </row>
    <row r="54" spans="1:11" hidden="1" x14ac:dyDescent="0.25">
      <c r="J54" s="53"/>
      <c r="K54" s="53"/>
    </row>
    <row r="55" spans="1:11" hidden="1" x14ac:dyDescent="0.25">
      <c r="J55" s="53"/>
      <c r="K55" s="53"/>
    </row>
    <row r="56" spans="1:11" ht="15" hidden="1" customHeight="1" x14ac:dyDescent="0.25"/>
    <row r="57" spans="1:11" ht="15" hidden="1" customHeight="1" x14ac:dyDescent="0.25"/>
    <row r="58" spans="1:11" ht="15" hidden="1" customHeight="1" x14ac:dyDescent="0.25"/>
    <row r="59" spans="1:11" ht="15" hidden="1" customHeight="1" x14ac:dyDescent="0.25"/>
    <row r="60" spans="1:11" ht="15" hidden="1" customHeight="1" x14ac:dyDescent="0.25"/>
    <row r="61" spans="1:11" ht="15" hidden="1" customHeight="1" x14ac:dyDescent="0.25"/>
    <row r="62" spans="1:11" ht="15" hidden="1" customHeight="1" x14ac:dyDescent="0.25"/>
    <row r="63" spans="1:11" ht="15" hidden="1" customHeight="1" x14ac:dyDescent="0.25"/>
    <row r="64" spans="1:11"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sheetData>
  <sheetProtection algorithmName="SHA-512" hashValue="2kyPmtX3txcxMwVFWkKKG1joueB9Ne3G4liO/RLzJFfRSuqrYwMVPor6Ornf1XvFUYiQlfoCrcEPbpVhscOmbg==" saltValue="JKke9modmsduSYK4XdrfhA==" spinCount="100000" sheet="1" objects="1" scenarios="1"/>
  <mergeCells count="34">
    <mergeCell ref="A1:K1"/>
    <mergeCell ref="A14:K14"/>
    <mergeCell ref="A9:K9"/>
    <mergeCell ref="B45:F45"/>
    <mergeCell ref="B46:F46"/>
    <mergeCell ref="B12:E12"/>
    <mergeCell ref="B40:C40"/>
    <mergeCell ref="C25:D25"/>
    <mergeCell ref="C26:D26"/>
    <mergeCell ref="B32:C32"/>
    <mergeCell ref="D32:E32"/>
    <mergeCell ref="B33:C33"/>
    <mergeCell ref="D33:E33"/>
    <mergeCell ref="I2:J4"/>
    <mergeCell ref="B30:C30"/>
    <mergeCell ref="B31:C31"/>
    <mergeCell ref="A5:K7"/>
    <mergeCell ref="D29:E29"/>
    <mergeCell ref="D30:E30"/>
    <mergeCell ref="D31:E31"/>
    <mergeCell ref="D34:E34"/>
    <mergeCell ref="B29:C29"/>
    <mergeCell ref="B11:E11"/>
    <mergeCell ref="B38:I38"/>
    <mergeCell ref="B44:F44"/>
    <mergeCell ref="A48:K48"/>
    <mergeCell ref="A42:K42"/>
    <mergeCell ref="B18:I20"/>
    <mergeCell ref="H44:I44"/>
    <mergeCell ref="H45:I45"/>
    <mergeCell ref="H46:I46"/>
    <mergeCell ref="B34:C34"/>
    <mergeCell ref="B35:C35"/>
    <mergeCell ref="D35:E35"/>
  </mergeCells>
  <conditionalFormatting sqref="G45:G46">
    <cfRule type="expression" dxfId="31" priority="3">
      <formula>#REF!&lt;&gt;"Prescriptive Path"</formula>
    </cfRule>
  </conditionalFormatting>
  <conditionalFormatting sqref="H44:I44">
    <cfRule type="expression" dxfId="30" priority="2">
      <formula>#REF!&lt;&gt;"Prescriptive Path"</formula>
    </cfRule>
  </conditionalFormatting>
  <conditionalFormatting sqref="H45:H46">
    <cfRule type="expression" dxfId="29" priority="1">
      <formula>#REF!&lt;&gt;"Prescriptive Path"</formula>
    </cfRule>
  </conditionalFormatting>
  <dataValidations disablePrompts="1" count="1">
    <dataValidation type="list" allowBlank="1" showInputMessage="1" showErrorMessage="1" sqref="G45:G46">
      <formula1>"Submitted,Not submitted"</formula1>
    </dataValidation>
  </dataValidations>
  <hyperlinks>
    <hyperlink ref="K2" location="'CM-2 Construction Management'!B3" tooltip="CM-2" display="CM-2"/>
    <hyperlink ref="K3" location="'CM-3 Operational Management'!C3" tooltip="CM-3" display="CM-3"/>
    <hyperlink ref="K4" location="'CM BPC'!B3" tooltip="BPC" display="BPC"/>
  </hyperlinks>
  <pageMargins left="0.7" right="0.7" top="0.75" bottom="0.75" header="0.3" footer="0.3"/>
  <pageSetup orientation="portrait" verticalDpi="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84806"/>
  </sheetPr>
  <dimension ref="A1:M197"/>
  <sheetViews>
    <sheetView showRowColHeaders="0" workbookViewId="0">
      <pane ySplit="8" topLeftCell="A83" activePane="bottomLeft" state="frozen"/>
      <selection activeCell="E21" sqref="E21"/>
      <selection pane="bottomLeft" activeCell="B2" sqref="B2"/>
    </sheetView>
  </sheetViews>
  <sheetFormatPr defaultColWidth="0" defaultRowHeight="15" customHeight="1" zeroHeight="1" x14ac:dyDescent="0.25"/>
  <cols>
    <col min="1" max="1" width="5.7109375" style="42" customWidth="1"/>
    <col min="2" max="2" width="18.42578125" style="42" customWidth="1"/>
    <col min="3" max="3" width="16.85546875" style="42" customWidth="1"/>
    <col min="4" max="6" width="18.42578125" style="42" customWidth="1"/>
    <col min="7" max="7" width="18.28515625" style="42" customWidth="1"/>
    <col min="8" max="8" width="21.7109375" style="42" customWidth="1"/>
    <col min="9" max="9" width="14.7109375" style="42" customWidth="1"/>
    <col min="10" max="10" width="10.7109375" style="42" customWidth="1"/>
    <col min="11" max="11" width="8.7109375" style="42" customWidth="1"/>
    <col min="12" max="16384" width="9.140625" style="42" hidden="1"/>
  </cols>
  <sheetData>
    <row r="1" spans="1:13" ht="25.5" customHeight="1" x14ac:dyDescent="0.25">
      <c r="A1" s="2081" t="s">
        <v>141</v>
      </c>
      <c r="B1" s="2081"/>
      <c r="C1" s="2081"/>
      <c r="D1" s="2081"/>
      <c r="E1" s="2081"/>
      <c r="F1" s="2081"/>
      <c r="G1" s="2081"/>
      <c r="H1" s="2081"/>
      <c r="I1" s="2081"/>
      <c r="J1" s="2081"/>
      <c r="K1" s="2081"/>
    </row>
    <row r="2" spans="1:13" ht="15" customHeight="1" x14ac:dyDescent="0.25">
      <c r="A2" s="53"/>
      <c r="B2" s="54"/>
      <c r="C2" s="54"/>
      <c r="D2" s="54"/>
      <c r="E2" s="54"/>
      <c r="F2" s="53"/>
      <c r="G2" s="53"/>
      <c r="H2" s="53"/>
      <c r="I2" s="1426" t="s">
        <v>2110</v>
      </c>
      <c r="J2" s="1426"/>
      <c r="K2" s="832" t="s">
        <v>144</v>
      </c>
    </row>
    <row r="3" spans="1:13" ht="15" customHeight="1" x14ac:dyDescent="0.25">
      <c r="A3" s="53"/>
      <c r="B3" s="54"/>
      <c r="C3" s="54"/>
      <c r="D3" s="54"/>
      <c r="E3" s="54"/>
      <c r="F3" s="53"/>
      <c r="G3" s="53"/>
      <c r="H3" s="53"/>
      <c r="I3" s="1426"/>
      <c r="J3" s="1426"/>
      <c r="K3" s="832" t="s">
        <v>146</v>
      </c>
    </row>
    <row r="4" spans="1:13" ht="15" customHeight="1" x14ac:dyDescent="0.25">
      <c r="A4" s="53"/>
      <c r="B4" s="54"/>
      <c r="C4" s="54"/>
      <c r="D4" s="54"/>
      <c r="E4" s="54"/>
      <c r="F4" s="53"/>
      <c r="G4" s="53"/>
      <c r="H4" s="53"/>
      <c r="I4" s="1427"/>
      <c r="J4" s="1427"/>
      <c r="K4" s="832" t="s">
        <v>79</v>
      </c>
    </row>
    <row r="5" spans="1:13" ht="21" customHeight="1" x14ac:dyDescent="0.25">
      <c r="A5" s="1976" t="s">
        <v>2434</v>
      </c>
      <c r="B5" s="1977"/>
      <c r="C5" s="1977"/>
      <c r="D5" s="1977"/>
      <c r="E5" s="1977"/>
      <c r="F5" s="1977"/>
      <c r="G5" s="1977"/>
      <c r="H5" s="1977"/>
      <c r="I5" s="1977"/>
      <c r="J5" s="1977"/>
      <c r="K5" s="1978"/>
    </row>
    <row r="6" spans="1:13" ht="21" customHeight="1" x14ac:dyDescent="0.25">
      <c r="A6" s="1979"/>
      <c r="B6" s="1421"/>
      <c r="C6" s="1421"/>
      <c r="D6" s="1421"/>
      <c r="E6" s="1421"/>
      <c r="F6" s="1421"/>
      <c r="G6" s="1421"/>
      <c r="H6" s="1421"/>
      <c r="I6" s="1421"/>
      <c r="J6" s="1421"/>
      <c r="K6" s="1980"/>
    </row>
    <row r="7" spans="1:13" ht="21" customHeight="1" x14ac:dyDescent="0.25">
      <c r="A7" s="1981"/>
      <c r="B7" s="1982"/>
      <c r="C7" s="1982"/>
      <c r="D7" s="1982"/>
      <c r="E7" s="1982"/>
      <c r="F7" s="1982"/>
      <c r="G7" s="1982"/>
      <c r="H7" s="1982"/>
      <c r="I7" s="1982"/>
      <c r="J7" s="1982"/>
      <c r="K7" s="1983"/>
    </row>
    <row r="8" spans="1:13" ht="12" customHeight="1" x14ac:dyDescent="0.25">
      <c r="A8" s="53"/>
      <c r="B8" s="54"/>
      <c r="C8" s="54"/>
      <c r="D8" s="54"/>
      <c r="E8" s="54"/>
      <c r="F8" s="53"/>
      <c r="G8" s="53"/>
      <c r="H8" s="53"/>
      <c r="I8" s="53"/>
      <c r="J8" s="53"/>
      <c r="K8" s="53"/>
    </row>
    <row r="9" spans="1:13" ht="18" customHeight="1" x14ac:dyDescent="0.25">
      <c r="A9" s="2073" t="s">
        <v>191</v>
      </c>
      <c r="B9" s="2073"/>
      <c r="C9" s="2073"/>
      <c r="D9" s="2073"/>
      <c r="E9" s="2073"/>
      <c r="F9" s="2073"/>
      <c r="G9" s="2073"/>
      <c r="H9" s="2073"/>
      <c r="I9" s="2073"/>
      <c r="J9" s="2073"/>
      <c r="K9" s="2073"/>
    </row>
    <row r="10" spans="1:13" ht="16.5" customHeight="1" x14ac:dyDescent="0.25">
      <c r="A10" s="53"/>
      <c r="B10" s="54"/>
      <c r="C10" s="54"/>
      <c r="D10" s="54"/>
      <c r="E10" s="54"/>
      <c r="F10" s="53"/>
      <c r="G10" s="53"/>
      <c r="H10" s="53"/>
      <c r="I10" s="53"/>
      <c r="J10" s="53"/>
      <c r="K10" s="53"/>
    </row>
    <row r="11" spans="1:13" ht="19.5" customHeight="1" x14ac:dyDescent="0.25">
      <c r="A11" s="53"/>
      <c r="B11" s="2079" t="s">
        <v>192</v>
      </c>
      <c r="C11" s="2080"/>
      <c r="D11" s="2080"/>
      <c r="E11" s="2080"/>
      <c r="F11" s="627" t="s">
        <v>157</v>
      </c>
      <c r="G11" s="627" t="s">
        <v>56</v>
      </c>
      <c r="H11" s="63" t="s">
        <v>521</v>
      </c>
      <c r="I11" s="53"/>
      <c r="J11" s="53"/>
      <c r="K11" s="53"/>
    </row>
    <row r="12" spans="1:13" ht="27" customHeight="1" x14ac:dyDescent="0.25">
      <c r="A12" s="53"/>
      <c r="B12" s="1633" t="s">
        <v>272</v>
      </c>
      <c r="C12" s="2113"/>
      <c r="D12" s="2113"/>
      <c r="E12" s="2114"/>
      <c r="F12" s="330">
        <v>1</v>
      </c>
      <c r="G12" s="330">
        <f>C47</f>
        <v>0</v>
      </c>
      <c r="H12" s="330" t="str">
        <f>C48</f>
        <v>No</v>
      </c>
      <c r="I12" s="53"/>
      <c r="J12" s="53"/>
      <c r="K12" s="53"/>
      <c r="M12" s="42" t="str">
        <f>IF(G12&lt;&gt;0,IF(H12="No","No","Yes"),"Yes")</f>
        <v>Yes</v>
      </c>
    </row>
    <row r="13" spans="1:13" ht="27" customHeight="1" x14ac:dyDescent="0.25">
      <c r="A13" s="53"/>
      <c r="B13" s="1633" t="s">
        <v>273</v>
      </c>
      <c r="C13" s="2113" t="s">
        <v>148</v>
      </c>
      <c r="D13" s="2113" t="s">
        <v>148</v>
      </c>
      <c r="E13" s="2114" t="s">
        <v>148</v>
      </c>
      <c r="F13" s="330">
        <v>1</v>
      </c>
      <c r="G13" s="330">
        <f>C83</f>
        <v>0</v>
      </c>
      <c r="H13" s="330" t="str">
        <f>C84</f>
        <v>No</v>
      </c>
      <c r="I13" s="53"/>
      <c r="J13" s="53"/>
      <c r="K13" s="53"/>
      <c r="M13" s="42" t="str">
        <f t="shared" ref="M13:M16" si="0">IF(G13&lt;&gt;0,IF(H13="No","No","Yes"),"Yes")</f>
        <v>Yes</v>
      </c>
    </row>
    <row r="14" spans="1:13" ht="27" customHeight="1" x14ac:dyDescent="0.25">
      <c r="A14" s="53"/>
      <c r="B14" s="1633" t="s">
        <v>276</v>
      </c>
      <c r="C14" s="2113" t="s">
        <v>149</v>
      </c>
      <c r="D14" s="2113" t="s">
        <v>149</v>
      </c>
      <c r="E14" s="2114" t="s">
        <v>149</v>
      </c>
      <c r="F14" s="330">
        <v>1</v>
      </c>
      <c r="G14" s="330">
        <f>C115</f>
        <v>0</v>
      </c>
      <c r="H14" s="330" t="str">
        <f>C116</f>
        <v>No</v>
      </c>
      <c r="I14" s="53"/>
      <c r="J14" s="53"/>
      <c r="K14" s="53"/>
      <c r="M14" s="42" t="str">
        <f t="shared" si="0"/>
        <v>Yes</v>
      </c>
    </row>
    <row r="15" spans="1:13" ht="37.5" customHeight="1" x14ac:dyDescent="0.25">
      <c r="A15" s="53"/>
      <c r="B15" s="1633" t="s">
        <v>274</v>
      </c>
      <c r="C15" s="2113" t="s">
        <v>164</v>
      </c>
      <c r="D15" s="2113" t="s">
        <v>164</v>
      </c>
      <c r="E15" s="2114" t="s">
        <v>164</v>
      </c>
      <c r="F15" s="330">
        <v>1</v>
      </c>
      <c r="G15" s="330">
        <f>C139</f>
        <v>0</v>
      </c>
      <c r="H15" s="330" t="str">
        <f>C140</f>
        <v>No</v>
      </c>
      <c r="I15" s="53"/>
      <c r="J15" s="53"/>
      <c r="K15" s="53"/>
      <c r="M15" s="42" t="str">
        <f t="shared" si="0"/>
        <v>Yes</v>
      </c>
    </row>
    <row r="16" spans="1:13" ht="27" customHeight="1" x14ac:dyDescent="0.25">
      <c r="A16" s="53"/>
      <c r="B16" s="1633" t="s">
        <v>275</v>
      </c>
      <c r="C16" s="2113" t="s">
        <v>150</v>
      </c>
      <c r="D16" s="2113" t="s">
        <v>150</v>
      </c>
      <c r="E16" s="2114" t="s">
        <v>150</v>
      </c>
      <c r="F16" s="330">
        <v>1</v>
      </c>
      <c r="G16" s="330">
        <f>C166</f>
        <v>0</v>
      </c>
      <c r="H16" s="330" t="str">
        <f>C167</f>
        <v>No</v>
      </c>
      <c r="I16" s="53"/>
      <c r="J16" s="53"/>
      <c r="K16" s="53"/>
      <c r="M16" s="42" t="str">
        <f t="shared" si="0"/>
        <v>Yes</v>
      </c>
    </row>
    <row r="17" spans="1:11" ht="19.5" customHeight="1" x14ac:dyDescent="0.25">
      <c r="A17" s="53"/>
      <c r="B17" s="1433" t="s">
        <v>82</v>
      </c>
      <c r="C17" s="1775"/>
      <c r="D17" s="1775"/>
      <c r="E17" s="1776"/>
      <c r="F17" s="702">
        <v>5</v>
      </c>
      <c r="G17" s="702">
        <f>MIN(5,SUM(G12:G16))</f>
        <v>0</v>
      </c>
      <c r="H17" s="702" t="str">
        <f>IF(COUNTIF(H12:H16,"No")=5,"No",IF(COUNTIF(M12:M16,"Yes")=5,"Yes","No"))</f>
        <v>No</v>
      </c>
      <c r="I17" s="53"/>
      <c r="J17" s="53"/>
      <c r="K17" s="53"/>
    </row>
    <row r="18" spans="1:11" ht="16.5" customHeight="1" x14ac:dyDescent="0.25">
      <c r="A18" s="53"/>
      <c r="B18" s="54"/>
      <c r="C18" s="54"/>
      <c r="D18" s="54"/>
      <c r="E18" s="54"/>
      <c r="F18" s="53"/>
      <c r="G18" s="53"/>
      <c r="H18" s="53"/>
      <c r="I18" s="53"/>
      <c r="J18" s="53"/>
      <c r="K18" s="53"/>
    </row>
    <row r="19" spans="1:11" ht="18" customHeight="1" x14ac:dyDescent="0.25">
      <c r="A19" s="2073" t="s">
        <v>277</v>
      </c>
      <c r="B19" s="2073"/>
      <c r="C19" s="2073"/>
      <c r="D19" s="2073"/>
      <c r="E19" s="2073"/>
      <c r="F19" s="2073"/>
      <c r="G19" s="2073"/>
      <c r="H19" s="2073"/>
      <c r="I19" s="2073"/>
      <c r="J19" s="2073"/>
      <c r="K19" s="2073"/>
    </row>
    <row r="20" spans="1:11" x14ac:dyDescent="0.25">
      <c r="A20" s="53"/>
      <c r="B20" s="54"/>
      <c r="C20" s="54"/>
      <c r="D20" s="54"/>
      <c r="E20" s="54"/>
      <c r="F20" s="53"/>
      <c r="G20" s="53"/>
      <c r="H20" s="53"/>
      <c r="I20" s="53"/>
      <c r="J20" s="53"/>
      <c r="K20" s="53"/>
    </row>
    <row r="21" spans="1:11" ht="16.5" customHeight="1" x14ac:dyDescent="0.25">
      <c r="A21" s="2083" t="s">
        <v>265</v>
      </c>
      <c r="B21" s="2083"/>
      <c r="C21" s="2083"/>
      <c r="D21" s="54"/>
      <c r="E21" s="54"/>
      <c r="F21" s="54"/>
      <c r="G21" s="54"/>
      <c r="H21" s="54"/>
      <c r="I21" s="54"/>
      <c r="J21" s="54"/>
      <c r="K21" s="54"/>
    </row>
    <row r="22" spans="1:11" x14ac:dyDescent="0.25">
      <c r="A22" s="53"/>
      <c r="B22" s="54"/>
      <c r="C22" s="54"/>
      <c r="D22" s="54"/>
      <c r="E22" s="54"/>
      <c r="F22" s="53"/>
      <c r="G22" s="53"/>
      <c r="H22" s="53"/>
      <c r="I22" s="53"/>
      <c r="J22" s="53"/>
      <c r="K22" s="53"/>
    </row>
    <row r="23" spans="1:11" ht="18" customHeight="1" x14ac:dyDescent="0.25">
      <c r="A23" s="53"/>
      <c r="B23" s="2104" t="s">
        <v>278</v>
      </c>
      <c r="C23" s="2105"/>
      <c r="D23" s="2105"/>
      <c r="E23" s="2105"/>
      <c r="F23" s="2105"/>
      <c r="G23" s="2105"/>
      <c r="H23" s="2105"/>
      <c r="I23" s="2106"/>
      <c r="J23" s="426"/>
      <c r="K23" s="53"/>
    </row>
    <row r="24" spans="1:11" s="775" customFormat="1" ht="18" customHeight="1" x14ac:dyDescent="0.25">
      <c r="A24" s="720"/>
      <c r="B24" s="2107" t="s">
        <v>614</v>
      </c>
      <c r="C24" s="2108"/>
      <c r="D24" s="2108"/>
      <c r="E24" s="2108"/>
      <c r="F24" s="2108"/>
      <c r="G24" s="2108"/>
      <c r="H24" s="2108"/>
      <c r="I24" s="2109"/>
      <c r="J24" s="426"/>
      <c r="K24" s="720"/>
    </row>
    <row r="25" spans="1:11" ht="17.25" customHeight="1" x14ac:dyDescent="0.25">
      <c r="A25" s="53"/>
      <c r="B25" s="53"/>
      <c r="C25" s="54"/>
      <c r="D25" s="54"/>
      <c r="E25" s="54"/>
      <c r="F25" s="53"/>
      <c r="G25" s="53"/>
      <c r="H25" s="53"/>
      <c r="I25" s="53"/>
      <c r="J25" s="53"/>
      <c r="K25" s="53"/>
    </row>
    <row r="26" spans="1:11" hidden="1" x14ac:dyDescent="0.25">
      <c r="A26" s="53"/>
      <c r="B26" s="54" t="s">
        <v>611</v>
      </c>
      <c r="C26" s="54"/>
      <c r="D26" s="54"/>
      <c r="E26" s="54"/>
      <c r="F26" s="53"/>
      <c r="G26" s="53"/>
      <c r="H26" s="53"/>
      <c r="I26" s="53"/>
      <c r="J26" s="53"/>
      <c r="K26" s="53"/>
    </row>
    <row r="27" spans="1:11" hidden="1" x14ac:dyDescent="0.25">
      <c r="A27" s="53"/>
      <c r="B27" s="2115" t="s">
        <v>612</v>
      </c>
      <c r="C27" s="2115"/>
      <c r="D27" s="2111" t="s">
        <v>615</v>
      </c>
      <c r="E27" s="2111"/>
      <c r="F27" s="2111"/>
      <c r="G27" s="2111"/>
      <c r="H27" s="2111"/>
      <c r="I27" s="53"/>
      <c r="J27" s="53"/>
      <c r="K27" s="53"/>
    </row>
    <row r="28" spans="1:11" hidden="1" x14ac:dyDescent="0.25">
      <c r="A28" s="53"/>
      <c r="B28" s="2115" t="s">
        <v>279</v>
      </c>
      <c r="C28" s="2115"/>
      <c r="D28" s="2111" t="s">
        <v>615</v>
      </c>
      <c r="E28" s="2111"/>
      <c r="F28" s="2111"/>
      <c r="G28" s="2111"/>
      <c r="H28" s="2111"/>
      <c r="I28" s="53"/>
      <c r="J28" s="53"/>
      <c r="K28" s="53"/>
    </row>
    <row r="29" spans="1:11" hidden="1" x14ac:dyDescent="0.25">
      <c r="A29" s="53"/>
      <c r="B29" s="54"/>
      <c r="C29" s="54"/>
      <c r="D29" s="54"/>
      <c r="E29" s="54"/>
      <c r="F29" s="53"/>
      <c r="G29" s="53"/>
      <c r="H29" s="53"/>
      <c r="I29" s="53"/>
      <c r="J29" s="53"/>
      <c r="K29" s="53"/>
    </row>
    <row r="30" spans="1:11" x14ac:dyDescent="0.25">
      <c r="A30" s="53"/>
      <c r="B30" s="717" t="s">
        <v>1671</v>
      </c>
      <c r="C30" s="54"/>
      <c r="D30" s="54"/>
      <c r="E30" s="54"/>
      <c r="F30" s="53"/>
      <c r="G30" s="53"/>
      <c r="H30" s="53"/>
      <c r="I30" s="53"/>
      <c r="J30" s="53"/>
      <c r="K30" s="53"/>
    </row>
    <row r="31" spans="1:11" ht="9" customHeight="1" x14ac:dyDescent="0.25">
      <c r="A31" s="53"/>
      <c r="B31" s="54"/>
      <c r="C31" s="54"/>
      <c r="D31" s="54"/>
      <c r="E31" s="54"/>
      <c r="F31" s="53"/>
      <c r="G31" s="53"/>
      <c r="H31" s="53"/>
      <c r="I31" s="53"/>
      <c r="J31" s="53"/>
      <c r="K31" s="53"/>
    </row>
    <row r="32" spans="1:11" x14ac:dyDescent="0.25">
      <c r="A32" s="53"/>
      <c r="B32" s="54"/>
      <c r="C32" s="54"/>
      <c r="D32" s="54"/>
      <c r="E32" s="54"/>
      <c r="F32" s="53"/>
      <c r="G32" s="53"/>
      <c r="H32" s="53"/>
      <c r="I32" s="53"/>
      <c r="J32" s="53"/>
      <c r="K32" s="53"/>
    </row>
    <row r="33" spans="1:11" ht="30" customHeight="1" x14ac:dyDescent="0.25">
      <c r="A33" s="53"/>
      <c r="B33" s="2110" t="s">
        <v>612</v>
      </c>
      <c r="C33" s="2110"/>
      <c r="D33" s="2102"/>
      <c r="E33" s="2102"/>
      <c r="F33" s="2102"/>
      <c r="G33" s="2102"/>
      <c r="H33" s="2102"/>
      <c r="I33" s="53"/>
      <c r="J33" s="53"/>
      <c r="K33" s="53"/>
    </row>
    <row r="34" spans="1:11" ht="39" customHeight="1" x14ac:dyDescent="0.25">
      <c r="A34" s="53"/>
      <c r="B34" s="2110" t="s">
        <v>1907</v>
      </c>
      <c r="C34" s="2110"/>
      <c r="D34" s="2102"/>
      <c r="E34" s="2102"/>
      <c r="F34" s="2102"/>
      <c r="G34" s="2102"/>
      <c r="H34" s="2102"/>
      <c r="I34" s="53"/>
      <c r="J34" s="53"/>
      <c r="K34" s="53"/>
    </row>
    <row r="35" spans="1:11" ht="39" customHeight="1" x14ac:dyDescent="0.25">
      <c r="A35" s="53"/>
      <c r="B35" s="2103" t="s">
        <v>1908</v>
      </c>
      <c r="C35" s="2103"/>
      <c r="D35" s="2102"/>
      <c r="E35" s="2102"/>
      <c r="F35" s="2102"/>
      <c r="G35" s="2102"/>
      <c r="H35" s="2102"/>
      <c r="I35" s="53"/>
      <c r="J35" s="53"/>
      <c r="K35" s="53"/>
    </row>
    <row r="36" spans="1:11" ht="13.5" customHeight="1" x14ac:dyDescent="0.25">
      <c r="A36" s="53"/>
      <c r="B36" s="54"/>
      <c r="C36" s="54"/>
      <c r="D36" s="54"/>
      <c r="E36" s="54"/>
      <c r="F36" s="53"/>
      <c r="G36" s="53"/>
      <c r="H36" s="53"/>
      <c r="I36" s="53"/>
      <c r="J36" s="53"/>
      <c r="K36" s="53"/>
    </row>
    <row r="37" spans="1:11" ht="13.5" customHeight="1" x14ac:dyDescent="0.25">
      <c r="A37" s="53"/>
      <c r="B37" s="54"/>
      <c r="C37" s="54"/>
      <c r="D37" s="54"/>
      <c r="E37" s="53"/>
      <c r="F37" s="53"/>
      <c r="G37" s="53"/>
      <c r="H37" s="53"/>
      <c r="I37" s="53"/>
      <c r="J37" s="53"/>
      <c r="K37" s="53"/>
    </row>
    <row r="38" spans="1:11" ht="29.25" customHeight="1" x14ac:dyDescent="0.25">
      <c r="A38" s="53"/>
      <c r="B38" s="2112" t="s">
        <v>613</v>
      </c>
      <c r="C38" s="2112"/>
      <c r="D38" s="2112"/>
      <c r="E38" s="285" t="str">
        <f>IF(AND(D27&lt;&gt;"",D28&lt;&gt;"",D33&lt;&gt;"",D34&lt;&gt;"",D35&lt;&gt;""),"Yes","No")</f>
        <v>No</v>
      </c>
      <c r="F38" s="53"/>
      <c r="G38" s="53"/>
      <c r="H38" s="53"/>
      <c r="I38" s="53"/>
      <c r="J38" s="53"/>
      <c r="K38" s="53"/>
    </row>
    <row r="39" spans="1:11" ht="19.5" customHeight="1" x14ac:dyDescent="0.25">
      <c r="A39" s="53"/>
      <c r="B39" s="54"/>
      <c r="C39" s="54"/>
      <c r="D39" s="54"/>
      <c r="E39" s="53"/>
      <c r="F39" s="53"/>
      <c r="G39" s="53"/>
      <c r="H39" s="53"/>
      <c r="I39" s="53"/>
      <c r="J39" s="53"/>
      <c r="K39" s="53"/>
    </row>
    <row r="40" spans="1:11" ht="16.5" customHeight="1" x14ac:dyDescent="0.25">
      <c r="A40" s="2083" t="s">
        <v>200</v>
      </c>
      <c r="B40" s="2083"/>
      <c r="C40" s="2083"/>
      <c r="D40" s="54"/>
      <c r="E40" s="54"/>
      <c r="F40" s="54"/>
      <c r="G40" s="54"/>
      <c r="H40" s="54"/>
      <c r="I40" s="54"/>
      <c r="J40" s="54"/>
      <c r="K40" s="54"/>
    </row>
    <row r="41" spans="1:11" ht="14.25" customHeight="1" x14ac:dyDescent="0.25">
      <c r="A41" s="53"/>
      <c r="B41" s="54"/>
      <c r="C41" s="54"/>
      <c r="D41" s="54"/>
      <c r="E41" s="53"/>
      <c r="F41" s="53"/>
      <c r="G41" s="53"/>
      <c r="H41" s="53"/>
      <c r="I41" s="53"/>
      <c r="J41" s="53"/>
      <c r="K41" s="53"/>
    </row>
    <row r="42" spans="1:11" ht="18" customHeight="1" x14ac:dyDescent="0.25">
      <c r="A42" s="53"/>
      <c r="B42" s="2071" t="s">
        <v>2103</v>
      </c>
      <c r="C42" s="2072"/>
      <c r="D42" s="2072"/>
      <c r="E42" s="2072"/>
      <c r="F42" s="2072"/>
      <c r="G42" s="1085" t="s">
        <v>2101</v>
      </c>
      <c r="H42" s="2075" t="s">
        <v>2102</v>
      </c>
      <c r="I42" s="2076"/>
      <c r="J42" s="53"/>
      <c r="K42" s="53"/>
    </row>
    <row r="43" spans="1:11" ht="24" customHeight="1" x14ac:dyDescent="0.25">
      <c r="A43" s="53"/>
      <c r="B43" s="2041" t="s">
        <v>1221</v>
      </c>
      <c r="C43" s="2042"/>
      <c r="D43" s="2042"/>
      <c r="E43" s="2042"/>
      <c r="F43" s="2043"/>
      <c r="G43" s="518" t="s">
        <v>129</v>
      </c>
      <c r="H43" s="1730"/>
      <c r="I43" s="1729"/>
      <c r="J43" s="53"/>
      <c r="K43" s="53"/>
    </row>
    <row r="44" spans="1:11" x14ac:dyDescent="0.25">
      <c r="A44" s="53"/>
      <c r="B44" s="54"/>
      <c r="C44" s="54"/>
      <c r="D44" s="54"/>
      <c r="E44" s="53"/>
      <c r="F44" s="53"/>
      <c r="G44" s="53"/>
      <c r="H44" s="53"/>
      <c r="I44" s="53"/>
      <c r="J44" s="53"/>
      <c r="K44" s="53"/>
    </row>
    <row r="45" spans="1:11" ht="16.5" customHeight="1" x14ac:dyDescent="0.25">
      <c r="A45" s="2083" t="s">
        <v>25</v>
      </c>
      <c r="B45" s="2083"/>
      <c r="C45" s="2083"/>
      <c r="D45" s="54"/>
      <c r="E45" s="54"/>
      <c r="F45" s="54"/>
      <c r="G45" s="54"/>
      <c r="H45" s="54"/>
      <c r="I45" s="54"/>
      <c r="J45" s="54"/>
      <c r="K45" s="54"/>
    </row>
    <row r="46" spans="1:11" x14ac:dyDescent="0.25">
      <c r="A46" s="53"/>
      <c r="B46" s="54"/>
      <c r="C46" s="54"/>
      <c r="D46" s="54"/>
      <c r="E46" s="54"/>
      <c r="F46" s="53"/>
      <c r="G46" s="53"/>
      <c r="H46" s="53"/>
      <c r="I46" s="53"/>
      <c r="J46" s="53"/>
      <c r="K46" s="53"/>
    </row>
    <row r="47" spans="1:11" ht="18" customHeight="1" x14ac:dyDescent="0.25">
      <c r="A47" s="53"/>
      <c r="B47" s="305" t="s">
        <v>56</v>
      </c>
      <c r="C47" s="12">
        <f>IF(E38="Yes",1,0)</f>
        <v>0</v>
      </c>
      <c r="D47" s="54"/>
      <c r="E47" s="53"/>
      <c r="F47" s="53"/>
      <c r="G47" s="53"/>
      <c r="H47" s="53"/>
      <c r="I47" s="53"/>
      <c r="J47" s="53"/>
      <c r="K47" s="53"/>
    </row>
    <row r="48" spans="1:11" ht="18" customHeight="1" x14ac:dyDescent="0.25">
      <c r="A48" s="53"/>
      <c r="B48" s="305" t="s">
        <v>521</v>
      </c>
      <c r="C48" s="12" t="str">
        <f>IF(AND(G43="Submitted",C47&gt;0),"Yes","No")</f>
        <v>No</v>
      </c>
      <c r="D48" s="54"/>
      <c r="E48" s="54"/>
      <c r="F48" s="53"/>
      <c r="G48" s="53"/>
      <c r="H48" s="53"/>
      <c r="I48" s="53"/>
      <c r="J48" s="53"/>
      <c r="K48" s="53"/>
    </row>
    <row r="49" spans="1:11" ht="21" customHeight="1" x14ac:dyDescent="0.25">
      <c r="A49" s="53"/>
      <c r="B49" s="54"/>
      <c r="C49" s="54"/>
      <c r="D49" s="54"/>
      <c r="E49" s="54"/>
      <c r="F49" s="53"/>
      <c r="G49" s="53"/>
      <c r="H49" s="53"/>
      <c r="I49" s="53"/>
      <c r="J49" s="53"/>
      <c r="K49" s="53"/>
    </row>
    <row r="50" spans="1:11" ht="18" customHeight="1" x14ac:dyDescent="0.25">
      <c r="A50" s="2073" t="s">
        <v>280</v>
      </c>
      <c r="B50" s="2073"/>
      <c r="C50" s="2073"/>
      <c r="D50" s="2073"/>
      <c r="E50" s="2073"/>
      <c r="F50" s="2073"/>
      <c r="G50" s="2073"/>
      <c r="H50" s="2073"/>
      <c r="I50" s="2073"/>
      <c r="J50" s="2073"/>
      <c r="K50" s="2073"/>
    </row>
    <row r="51" spans="1:11" x14ac:dyDescent="0.25">
      <c r="A51" s="54"/>
      <c r="B51" s="54"/>
      <c r="C51" s="54"/>
      <c r="D51" s="54"/>
      <c r="E51" s="54"/>
      <c r="F51" s="53"/>
      <c r="G51" s="53"/>
      <c r="H51" s="53"/>
      <c r="I51" s="53"/>
      <c r="J51" s="53"/>
      <c r="K51" s="53"/>
    </row>
    <row r="52" spans="1:11" ht="16.5" customHeight="1" x14ac:dyDescent="0.25">
      <c r="A52" s="2083" t="s">
        <v>265</v>
      </c>
      <c r="B52" s="2083"/>
      <c r="C52" s="2083"/>
      <c r="D52" s="54"/>
      <c r="E52" s="54"/>
      <c r="F52" s="54"/>
      <c r="G52" s="54"/>
      <c r="H52" s="54"/>
      <c r="I52" s="54"/>
      <c r="J52" s="54"/>
      <c r="K52" s="54"/>
    </row>
    <row r="53" spans="1:11" ht="12" customHeight="1" x14ac:dyDescent="0.25">
      <c r="A53" s="53"/>
      <c r="B53" s="54"/>
      <c r="C53" s="54"/>
      <c r="D53" s="54"/>
      <c r="E53" s="54"/>
      <c r="F53" s="53"/>
      <c r="G53" s="53"/>
      <c r="H53" s="53"/>
      <c r="I53" s="53"/>
      <c r="J53" s="53"/>
      <c r="K53" s="53"/>
    </row>
    <row r="54" spans="1:11" ht="15" customHeight="1" x14ac:dyDescent="0.25">
      <c r="A54" s="53"/>
      <c r="B54" s="1415" t="s">
        <v>602</v>
      </c>
      <c r="C54" s="1415"/>
      <c r="D54" s="1415"/>
      <c r="E54" s="1415"/>
      <c r="F54" s="1415"/>
      <c r="G54" s="1415"/>
      <c r="H54" s="1415"/>
      <c r="I54" s="1415"/>
      <c r="J54" s="1415"/>
      <c r="K54" s="53"/>
    </row>
    <row r="55" spans="1:11" ht="18" customHeight="1" x14ac:dyDescent="0.25">
      <c r="A55" s="53"/>
      <c r="B55" s="721"/>
      <c r="C55" s="721"/>
      <c r="D55" s="721"/>
      <c r="E55" s="721"/>
      <c r="F55" s="721"/>
      <c r="G55" s="721"/>
      <c r="H55" s="721"/>
      <c r="I55" s="721"/>
      <c r="J55" s="721"/>
      <c r="K55" s="53"/>
    </row>
    <row r="56" spans="1:11" x14ac:dyDescent="0.25">
      <c r="A56" s="53"/>
      <c r="B56" s="779" t="s">
        <v>1414</v>
      </c>
      <c r="C56" s="780"/>
      <c r="D56" s="780"/>
      <c r="E56" s="780"/>
      <c r="F56" s="781"/>
      <c r="G56" s="721"/>
      <c r="H56" s="721"/>
      <c r="I56" s="721"/>
      <c r="J56" s="721"/>
      <c r="K56" s="53"/>
    </row>
    <row r="57" spans="1:11" x14ac:dyDescent="0.25">
      <c r="A57" s="53"/>
      <c r="B57" s="782" t="s">
        <v>1415</v>
      </c>
      <c r="C57" s="778"/>
      <c r="D57" s="778"/>
      <c r="E57" s="778"/>
      <c r="F57" s="783"/>
      <c r="G57" s="721"/>
      <c r="H57" s="721"/>
      <c r="I57" s="721"/>
      <c r="J57" s="721"/>
      <c r="K57" s="53"/>
    </row>
    <row r="58" spans="1:11" x14ac:dyDescent="0.25">
      <c r="A58" s="53"/>
      <c r="B58" s="782" t="s">
        <v>1416</v>
      </c>
      <c r="C58" s="778"/>
      <c r="D58" s="778"/>
      <c r="E58" s="778"/>
      <c r="F58" s="783"/>
      <c r="G58" s="721"/>
      <c r="H58" s="721"/>
      <c r="I58" s="721"/>
      <c r="J58" s="721"/>
      <c r="K58" s="53"/>
    </row>
    <row r="59" spans="1:11" x14ac:dyDescent="0.25">
      <c r="A59" s="53"/>
      <c r="B59" s="782" t="s">
        <v>1417</v>
      </c>
      <c r="C59" s="778"/>
      <c r="D59" s="778"/>
      <c r="E59" s="778"/>
      <c r="F59" s="783"/>
      <c r="G59" s="721"/>
      <c r="H59" s="721"/>
      <c r="I59" s="721"/>
      <c r="J59" s="721"/>
      <c r="K59" s="53"/>
    </row>
    <row r="60" spans="1:11" x14ac:dyDescent="0.25">
      <c r="A60" s="53"/>
      <c r="B60" s="782" t="s">
        <v>1418</v>
      </c>
      <c r="C60" s="778"/>
      <c r="D60" s="778"/>
      <c r="E60" s="778"/>
      <c r="F60" s="783"/>
      <c r="G60" s="721"/>
      <c r="H60" s="721"/>
      <c r="I60" s="721"/>
      <c r="J60" s="721"/>
      <c r="K60" s="53"/>
    </row>
    <row r="61" spans="1:11" x14ac:dyDescent="0.25">
      <c r="A61" s="53"/>
      <c r="B61" s="784" t="s">
        <v>1419</v>
      </c>
      <c r="C61" s="785"/>
      <c r="D61" s="785"/>
      <c r="E61" s="785"/>
      <c r="F61" s="786"/>
      <c r="G61" s="721"/>
      <c r="H61" s="721"/>
      <c r="I61" s="721"/>
      <c r="J61" s="721"/>
      <c r="K61" s="53"/>
    </row>
    <row r="62" spans="1:11" x14ac:dyDescent="0.25">
      <c r="A62" s="53"/>
      <c r="B62" s="721"/>
      <c r="C62" s="721"/>
      <c r="D62" s="721"/>
      <c r="E62" s="721"/>
      <c r="F62" s="721"/>
      <c r="G62" s="721"/>
      <c r="H62" s="721"/>
      <c r="I62" s="721"/>
      <c r="J62" s="721"/>
      <c r="K62" s="53"/>
    </row>
    <row r="63" spans="1:11" ht="15" customHeight="1" x14ac:dyDescent="0.25">
      <c r="A63" s="53"/>
      <c r="B63" s="717" t="s">
        <v>1413</v>
      </c>
      <c r="C63" s="721"/>
      <c r="D63" s="721"/>
      <c r="E63" s="721"/>
      <c r="F63" s="721"/>
      <c r="G63" s="721"/>
      <c r="H63" s="721"/>
      <c r="I63" s="721"/>
      <c r="J63" s="721"/>
      <c r="K63" s="53"/>
    </row>
    <row r="64" spans="1:11" ht="15" customHeight="1" x14ac:dyDescent="0.25">
      <c r="A64" s="53"/>
      <c r="B64" s="721"/>
      <c r="C64" s="721"/>
      <c r="D64" s="721"/>
      <c r="E64" s="721"/>
      <c r="F64" s="721"/>
      <c r="G64" s="721"/>
      <c r="H64" s="721"/>
      <c r="I64" s="721"/>
      <c r="J64" s="721"/>
      <c r="K64" s="53"/>
    </row>
    <row r="65" spans="1:13" ht="15" customHeight="1" x14ac:dyDescent="0.25">
      <c r="A65" s="53"/>
      <c r="B65" s="750" t="s">
        <v>623</v>
      </c>
      <c r="C65" s="54"/>
      <c r="D65" s="54"/>
      <c r="E65" s="54"/>
      <c r="F65" s="53"/>
      <c r="G65" s="53"/>
      <c r="H65" s="53"/>
      <c r="I65" s="53"/>
      <c r="J65" s="53"/>
      <c r="K65" s="53"/>
    </row>
    <row r="66" spans="1:13" ht="10.5" customHeight="1" x14ac:dyDescent="0.25">
      <c r="A66" s="53"/>
      <c r="B66" s="306"/>
      <c r="C66" s="54"/>
      <c r="D66" s="54"/>
      <c r="E66" s="54"/>
      <c r="F66" s="53"/>
      <c r="G66" s="53"/>
      <c r="H66" s="53"/>
      <c r="I66" s="53"/>
      <c r="J66" s="53"/>
      <c r="K66" s="53"/>
    </row>
    <row r="67" spans="1:13" ht="32.25" customHeight="1" x14ac:dyDescent="0.25">
      <c r="A67" s="53"/>
      <c r="B67" s="776" t="s">
        <v>617</v>
      </c>
      <c r="C67" s="2084" t="s">
        <v>621</v>
      </c>
      <c r="D67" s="2084"/>
      <c r="E67" s="777" t="s">
        <v>619</v>
      </c>
      <c r="F67" s="777" t="s">
        <v>618</v>
      </c>
      <c r="G67" s="2084" t="s">
        <v>33</v>
      </c>
      <c r="H67" s="2085"/>
      <c r="I67" s="53"/>
      <c r="J67" s="53"/>
      <c r="K67" s="53"/>
      <c r="L67" s="53"/>
      <c r="M67" s="53"/>
    </row>
    <row r="68" spans="1:13" x14ac:dyDescent="0.25">
      <c r="A68" s="53"/>
      <c r="B68" s="732"/>
      <c r="C68" s="2086"/>
      <c r="D68" s="2087"/>
      <c r="E68" s="732" t="s">
        <v>129</v>
      </c>
      <c r="F68" s="732"/>
      <c r="G68" s="2086"/>
      <c r="H68" s="2087"/>
      <c r="I68" s="53"/>
      <c r="J68" s="53"/>
      <c r="K68" s="53"/>
      <c r="L68" s="53"/>
      <c r="M68" s="53"/>
    </row>
    <row r="69" spans="1:13" x14ac:dyDescent="0.25">
      <c r="A69" s="53"/>
      <c r="B69" s="281"/>
      <c r="C69" s="2089"/>
      <c r="D69" s="2090"/>
      <c r="E69" s="732" t="s">
        <v>129</v>
      </c>
      <c r="F69" s="281"/>
      <c r="G69" s="2089"/>
      <c r="H69" s="2090"/>
      <c r="I69" s="53"/>
      <c r="J69" s="53"/>
      <c r="K69" s="53"/>
      <c r="L69" s="53"/>
      <c r="M69" s="53"/>
    </row>
    <row r="70" spans="1:13" x14ac:dyDescent="0.25">
      <c r="A70" s="53"/>
      <c r="B70" s="281"/>
      <c r="C70" s="2089"/>
      <c r="D70" s="2090"/>
      <c r="E70" s="732" t="s">
        <v>129</v>
      </c>
      <c r="F70" s="281"/>
      <c r="G70" s="2089"/>
      <c r="H70" s="2090"/>
      <c r="I70" s="53"/>
      <c r="J70" s="53"/>
      <c r="K70" s="53"/>
      <c r="L70" s="53"/>
      <c r="M70" s="53"/>
    </row>
    <row r="71" spans="1:13" x14ac:dyDescent="0.25">
      <c r="A71" s="53"/>
      <c r="B71" s="281"/>
      <c r="C71" s="2089"/>
      <c r="D71" s="2090"/>
      <c r="E71" s="732" t="s">
        <v>129</v>
      </c>
      <c r="F71" s="281"/>
      <c r="G71" s="2089"/>
      <c r="H71" s="2090"/>
      <c r="I71" s="53"/>
      <c r="J71" s="53"/>
      <c r="K71" s="53"/>
      <c r="L71" s="53"/>
      <c r="M71" s="53"/>
    </row>
    <row r="72" spans="1:13" x14ac:dyDescent="0.25">
      <c r="A72" s="53"/>
      <c r="B72" s="281"/>
      <c r="C72" s="2089"/>
      <c r="D72" s="2090"/>
      <c r="E72" s="732" t="s">
        <v>129</v>
      </c>
      <c r="F72" s="281"/>
      <c r="G72" s="2089"/>
      <c r="H72" s="2090"/>
      <c r="I72" s="53"/>
      <c r="J72" s="53"/>
      <c r="K72" s="53"/>
      <c r="L72" s="53"/>
      <c r="M72" s="53"/>
    </row>
    <row r="73" spans="1:13" x14ac:dyDescent="0.25">
      <c r="A73" s="53"/>
      <c r="B73" s="281"/>
      <c r="C73" s="2089"/>
      <c r="D73" s="2090"/>
      <c r="E73" s="732" t="s">
        <v>129</v>
      </c>
      <c r="F73" s="281"/>
      <c r="G73" s="2089"/>
      <c r="H73" s="2090"/>
      <c r="I73" s="53"/>
      <c r="J73" s="53"/>
      <c r="K73" s="53"/>
      <c r="L73" s="53"/>
      <c r="M73" s="53"/>
    </row>
    <row r="74" spans="1:13" x14ac:dyDescent="0.25">
      <c r="A74" s="53"/>
      <c r="B74" s="54"/>
      <c r="C74" s="54"/>
      <c r="D74" s="54"/>
      <c r="E74" s="54"/>
      <c r="F74" s="53"/>
      <c r="G74" s="53"/>
      <c r="H74" s="53"/>
      <c r="I74" s="53"/>
      <c r="J74" s="53"/>
      <c r="K74" s="53"/>
    </row>
    <row r="75" spans="1:13" ht="28.5" customHeight="1" x14ac:dyDescent="0.25">
      <c r="A75" s="53"/>
      <c r="B75" s="2112" t="s">
        <v>620</v>
      </c>
      <c r="C75" s="2112"/>
      <c r="D75" s="2112"/>
      <c r="E75" s="285" t="str">
        <f>IF(AND(B68&lt;&gt;"",C68&lt;&gt;"",E68&lt;&gt;"",F68&lt;&gt;"",B69&lt;&gt;"",C69&lt;&gt;"",E69&lt;&gt;"",F69&lt;&gt;"",B70&lt;&gt;"",C70&lt;&gt;"",E70&lt;&gt;"",F70&lt;&gt;""),"Yes","No")</f>
        <v>No</v>
      </c>
      <c r="F75" s="53"/>
      <c r="G75" s="53"/>
      <c r="H75" s="53"/>
      <c r="I75" s="53"/>
      <c r="J75" s="53"/>
      <c r="K75" s="53"/>
    </row>
    <row r="76" spans="1:13" ht="18" customHeight="1" x14ac:dyDescent="0.25">
      <c r="A76" s="53"/>
      <c r="B76" s="54"/>
      <c r="C76" s="54"/>
      <c r="D76" s="54"/>
      <c r="E76" s="53"/>
      <c r="F76" s="53"/>
      <c r="G76" s="53"/>
      <c r="H76" s="53"/>
      <c r="I76" s="53"/>
      <c r="J76" s="53"/>
      <c r="K76" s="53"/>
    </row>
    <row r="77" spans="1:13" ht="16.5" customHeight="1" x14ac:dyDescent="0.25">
      <c r="A77" s="2083" t="s">
        <v>200</v>
      </c>
      <c r="B77" s="2083"/>
      <c r="C77" s="2083"/>
      <c r="D77" s="54"/>
      <c r="E77" s="54"/>
      <c r="F77" s="54"/>
      <c r="G77" s="54"/>
      <c r="H77" s="54"/>
      <c r="I77" s="54"/>
      <c r="J77" s="54"/>
      <c r="K77" s="54"/>
    </row>
    <row r="78" spans="1:13" x14ac:dyDescent="0.25">
      <c r="A78" s="53"/>
      <c r="B78" s="54"/>
      <c r="C78" s="54"/>
      <c r="D78" s="54"/>
      <c r="E78" s="53"/>
      <c r="F78" s="53"/>
      <c r="G78" s="53"/>
      <c r="H78" s="53"/>
      <c r="I78" s="53"/>
      <c r="J78" s="53"/>
      <c r="K78" s="53"/>
    </row>
    <row r="79" spans="1:13" ht="15" customHeight="1" x14ac:dyDescent="0.25">
      <c r="A79" s="53"/>
      <c r="B79" s="2049" t="s">
        <v>622</v>
      </c>
      <c r="C79" s="2049"/>
      <c r="D79" s="2049"/>
      <c r="E79" s="2049"/>
      <c r="F79" s="2049"/>
      <c r="G79" s="2049"/>
      <c r="H79" s="53"/>
      <c r="I79" s="53"/>
      <c r="J79" s="53"/>
      <c r="K79" s="53"/>
    </row>
    <row r="80" spans="1:13" x14ac:dyDescent="0.25">
      <c r="A80" s="53"/>
      <c r="B80" s="54"/>
      <c r="C80" s="54"/>
      <c r="D80" s="54"/>
      <c r="E80" s="53"/>
      <c r="F80" s="53"/>
      <c r="G80" s="53"/>
      <c r="H80" s="53"/>
      <c r="I80" s="53"/>
      <c r="J80" s="53"/>
      <c r="K80" s="53"/>
    </row>
    <row r="81" spans="1:11" ht="16.5" customHeight="1" x14ac:dyDescent="0.25">
      <c r="A81" s="2083" t="s">
        <v>25</v>
      </c>
      <c r="B81" s="2083"/>
      <c r="C81" s="2083"/>
      <c r="D81" s="54"/>
      <c r="E81" s="54"/>
      <c r="F81" s="54"/>
      <c r="G81" s="54"/>
      <c r="H81" s="54"/>
      <c r="I81" s="54"/>
      <c r="J81" s="54"/>
      <c r="K81" s="54"/>
    </row>
    <row r="82" spans="1:11" x14ac:dyDescent="0.25">
      <c r="A82" s="53"/>
      <c r="B82" s="54"/>
      <c r="C82" s="54"/>
      <c r="D82" s="54"/>
      <c r="E82" s="54"/>
      <c r="F82" s="53"/>
      <c r="G82" s="53"/>
      <c r="H82" s="53"/>
      <c r="I82" s="53"/>
      <c r="J82" s="53"/>
      <c r="K82" s="53"/>
    </row>
    <row r="83" spans="1:11" ht="18" customHeight="1" x14ac:dyDescent="0.25">
      <c r="A83" s="53"/>
      <c r="B83" s="284" t="s">
        <v>56</v>
      </c>
      <c r="C83" s="203">
        <f>IF(E75="Yes",1,0)</f>
        <v>0</v>
      </c>
      <c r="D83" s="54"/>
      <c r="E83" s="53"/>
      <c r="F83" s="53"/>
      <c r="G83" s="53"/>
      <c r="H83" s="53"/>
      <c r="I83" s="53"/>
      <c r="J83" s="53"/>
      <c r="K83" s="53"/>
    </row>
    <row r="84" spans="1:11" ht="18" customHeight="1" x14ac:dyDescent="0.25">
      <c r="A84" s="53"/>
      <c r="B84" s="284" t="s">
        <v>521</v>
      </c>
      <c r="C84" s="203" t="str">
        <f>IF(C83&gt;0,"Yes","No")</f>
        <v>No</v>
      </c>
      <c r="D84" s="54"/>
      <c r="E84" s="54"/>
      <c r="F84" s="53"/>
      <c r="G84" s="53"/>
      <c r="H84" s="53"/>
      <c r="I84" s="53"/>
      <c r="J84" s="53"/>
      <c r="K84" s="53"/>
    </row>
    <row r="85" spans="1:11" ht="21" customHeight="1" x14ac:dyDescent="0.25">
      <c r="A85" s="53"/>
      <c r="B85" s="54"/>
      <c r="C85" s="54"/>
      <c r="D85" s="54"/>
      <c r="E85" s="54"/>
      <c r="F85" s="53"/>
      <c r="G85" s="53"/>
      <c r="H85" s="53"/>
      <c r="I85" s="53"/>
      <c r="J85" s="53"/>
      <c r="K85" s="53"/>
    </row>
    <row r="86" spans="1:11" ht="18" customHeight="1" x14ac:dyDescent="0.25">
      <c r="A86" s="2073" t="s">
        <v>579</v>
      </c>
      <c r="B86" s="2073"/>
      <c r="C86" s="2073"/>
      <c r="D86" s="2073"/>
      <c r="E86" s="2073"/>
      <c r="F86" s="2073"/>
      <c r="G86" s="2073"/>
      <c r="H86" s="2073"/>
      <c r="I86" s="2073"/>
      <c r="J86" s="2073"/>
      <c r="K86" s="2073"/>
    </row>
    <row r="87" spans="1:11" x14ac:dyDescent="0.25">
      <c r="A87" s="53"/>
      <c r="B87" s="53"/>
      <c r="C87" s="54"/>
      <c r="D87" s="54"/>
      <c r="E87" s="54"/>
      <c r="F87" s="53"/>
      <c r="G87" s="53"/>
      <c r="H87" s="53"/>
      <c r="I87" s="53"/>
      <c r="J87" s="53"/>
      <c r="K87" s="53"/>
    </row>
    <row r="88" spans="1:11" ht="16.5" customHeight="1" x14ac:dyDescent="0.25">
      <c r="A88" s="2083" t="s">
        <v>265</v>
      </c>
      <c r="B88" s="2083"/>
      <c r="C88" s="2083"/>
      <c r="D88" s="54"/>
      <c r="E88" s="54"/>
      <c r="F88" s="54"/>
      <c r="G88" s="54"/>
      <c r="H88" s="54"/>
      <c r="I88" s="54"/>
      <c r="J88" s="54"/>
      <c r="K88" s="54"/>
    </row>
    <row r="89" spans="1:11" x14ac:dyDescent="0.25">
      <c r="A89" s="53"/>
      <c r="B89" s="54"/>
      <c r="C89" s="54"/>
      <c r="D89" s="54"/>
      <c r="E89" s="54"/>
      <c r="F89" s="53"/>
      <c r="G89" s="53"/>
      <c r="H89" s="53"/>
      <c r="I89" s="53"/>
      <c r="J89" s="53"/>
      <c r="K89" s="53"/>
    </row>
    <row r="90" spans="1:11" ht="15" customHeight="1" x14ac:dyDescent="0.25">
      <c r="A90" s="53"/>
      <c r="B90" s="1415" t="s">
        <v>582</v>
      </c>
      <c r="C90" s="1415"/>
      <c r="D90" s="1415"/>
      <c r="E90" s="1415"/>
      <c r="F90" s="1415"/>
      <c r="G90" s="1415"/>
      <c r="H90" s="1415"/>
      <c r="I90" s="1415"/>
      <c r="J90" s="1415"/>
      <c r="K90" s="53"/>
    </row>
    <row r="91" spans="1:11" ht="19.5" customHeight="1" x14ac:dyDescent="0.25">
      <c r="A91" s="53"/>
      <c r="B91" s="53"/>
      <c r="C91" s="54"/>
      <c r="D91" s="54"/>
      <c r="E91" s="54"/>
      <c r="F91" s="53"/>
      <c r="G91" s="53"/>
      <c r="H91" s="53"/>
      <c r="I91" s="53"/>
      <c r="J91" s="53"/>
      <c r="K91" s="53"/>
    </row>
    <row r="92" spans="1:11" x14ac:dyDescent="0.25">
      <c r="A92" s="53"/>
      <c r="B92" s="717" t="s">
        <v>1420</v>
      </c>
      <c r="C92" s="54"/>
      <c r="D92" s="54"/>
      <c r="E92" s="54"/>
      <c r="F92" s="53"/>
      <c r="G92" s="53"/>
      <c r="H92" s="53"/>
      <c r="I92" s="53"/>
      <c r="J92" s="53"/>
      <c r="K92" s="53"/>
    </row>
    <row r="93" spans="1:11" ht="12" customHeight="1" x14ac:dyDescent="0.25">
      <c r="A93" s="53"/>
      <c r="B93" s="53"/>
      <c r="C93" s="54"/>
      <c r="D93" s="54"/>
      <c r="E93" s="54"/>
      <c r="F93" s="53"/>
      <c r="G93" s="53"/>
      <c r="H93" s="53"/>
      <c r="I93" s="53"/>
      <c r="J93" s="53"/>
      <c r="K93" s="53"/>
    </row>
    <row r="94" spans="1:11" x14ac:dyDescent="0.25">
      <c r="A94" s="53"/>
      <c r="B94" s="54" t="s">
        <v>583</v>
      </c>
      <c r="C94" s="54"/>
      <c r="D94" s="54"/>
      <c r="E94" s="54"/>
      <c r="F94" s="53"/>
      <c r="G94" s="53"/>
      <c r="H94" s="53"/>
      <c r="I94" s="53"/>
      <c r="J94" s="53"/>
      <c r="K94" s="53"/>
    </row>
    <row r="95" spans="1:11" ht="27" customHeight="1" x14ac:dyDescent="0.25">
      <c r="A95" s="53"/>
      <c r="B95" s="2091" t="s">
        <v>584</v>
      </c>
      <c r="C95" s="2091"/>
      <c r="D95" s="2088"/>
      <c r="E95" s="2088"/>
      <c r="F95" s="2088"/>
      <c r="G95" s="2088"/>
      <c r="H95" s="2088"/>
      <c r="I95" s="53"/>
      <c r="J95" s="53"/>
      <c r="K95" s="53"/>
    </row>
    <row r="96" spans="1:11" x14ac:dyDescent="0.25">
      <c r="A96" s="53"/>
      <c r="B96" s="54"/>
      <c r="C96" s="54"/>
      <c r="D96" s="54"/>
      <c r="E96" s="54"/>
      <c r="F96" s="53"/>
      <c r="G96" s="53"/>
      <c r="H96" s="53"/>
      <c r="I96" s="53"/>
      <c r="J96" s="53"/>
      <c r="K96" s="53"/>
    </row>
    <row r="97" spans="1:11" x14ac:dyDescent="0.25">
      <c r="A97" s="53"/>
      <c r="B97" s="54" t="s">
        <v>585</v>
      </c>
      <c r="C97" s="54"/>
      <c r="D97" s="54"/>
      <c r="E97" s="54"/>
      <c r="F97" s="53"/>
      <c r="G97" s="53"/>
      <c r="H97" s="53"/>
      <c r="I97" s="53"/>
      <c r="J97" s="53"/>
      <c r="K97" s="53"/>
    </row>
    <row r="98" spans="1:11" ht="27" customHeight="1" x14ac:dyDescent="0.25">
      <c r="A98" s="53"/>
      <c r="B98" s="2091" t="s">
        <v>586</v>
      </c>
      <c r="C98" s="2091"/>
      <c r="D98" s="2088"/>
      <c r="E98" s="2088"/>
      <c r="F98" s="2088"/>
      <c r="G98" s="2088"/>
      <c r="H98" s="2088"/>
      <c r="I98" s="53"/>
      <c r="J98" s="53"/>
      <c r="K98" s="53"/>
    </row>
    <row r="99" spans="1:11" x14ac:dyDescent="0.25">
      <c r="A99" s="53"/>
      <c r="B99" s="54"/>
      <c r="C99" s="54"/>
      <c r="D99" s="54"/>
      <c r="E99" s="54"/>
      <c r="F99" s="53"/>
      <c r="G99" s="53"/>
      <c r="H99" s="53"/>
      <c r="I99" s="53"/>
      <c r="J99" s="53"/>
      <c r="K99" s="53"/>
    </row>
    <row r="100" spans="1:11" x14ac:dyDescent="0.25">
      <c r="A100" s="53"/>
      <c r="B100" s="54" t="s">
        <v>596</v>
      </c>
      <c r="C100" s="54"/>
      <c r="D100" s="54"/>
      <c r="E100" s="54"/>
      <c r="F100" s="53"/>
      <c r="G100" s="53"/>
      <c r="H100" s="53"/>
      <c r="I100" s="53"/>
      <c r="J100" s="53"/>
      <c r="K100" s="53"/>
    </row>
    <row r="101" spans="1:11" ht="18" customHeight="1" x14ac:dyDescent="0.25">
      <c r="A101" s="53"/>
      <c r="B101" s="2093" t="s">
        <v>587</v>
      </c>
      <c r="C101" s="2093"/>
      <c r="D101" s="2094"/>
      <c r="E101" s="2095" t="s">
        <v>595</v>
      </c>
      <c r="F101" s="2093"/>
      <c r="G101" s="2093"/>
      <c r="H101" s="53"/>
      <c r="I101" s="53"/>
      <c r="J101" s="53"/>
      <c r="K101" s="53"/>
    </row>
    <row r="102" spans="1:11" ht="30" customHeight="1" x14ac:dyDescent="0.25">
      <c r="A102" s="53"/>
      <c r="B102" s="2092"/>
      <c r="C102" s="2092"/>
      <c r="D102" s="2092"/>
      <c r="E102" s="2092"/>
      <c r="F102" s="2092"/>
      <c r="G102" s="2092"/>
      <c r="H102" s="53"/>
      <c r="I102" s="53"/>
      <c r="J102" s="53"/>
      <c r="K102" s="53"/>
    </row>
    <row r="103" spans="1:11" ht="30" customHeight="1" x14ac:dyDescent="0.25">
      <c r="A103" s="53"/>
      <c r="B103" s="2092"/>
      <c r="C103" s="2092"/>
      <c r="D103" s="2092"/>
      <c r="E103" s="2092"/>
      <c r="F103" s="2092"/>
      <c r="G103" s="2092"/>
      <c r="H103" s="53"/>
      <c r="I103" s="53"/>
      <c r="J103" s="53"/>
      <c r="K103" s="53"/>
    </row>
    <row r="104" spans="1:11" ht="30" customHeight="1" x14ac:dyDescent="0.25">
      <c r="A104" s="53"/>
      <c r="B104" s="2092"/>
      <c r="C104" s="2092"/>
      <c r="D104" s="2092"/>
      <c r="E104" s="2092"/>
      <c r="F104" s="2092"/>
      <c r="G104" s="2092"/>
      <c r="H104" s="53"/>
      <c r="I104" s="53"/>
      <c r="J104" s="53"/>
      <c r="K104" s="53"/>
    </row>
    <row r="105" spans="1:11" ht="18.75" customHeight="1" x14ac:dyDescent="0.25">
      <c r="A105" s="53"/>
      <c r="B105" s="54"/>
      <c r="C105" s="54"/>
      <c r="D105" s="53"/>
      <c r="E105" s="53"/>
      <c r="F105" s="53"/>
      <c r="G105" s="53"/>
      <c r="H105" s="53"/>
      <c r="I105" s="53"/>
      <c r="J105" s="53"/>
      <c r="K105" s="53"/>
    </row>
    <row r="106" spans="1:11" ht="18" customHeight="1" x14ac:dyDescent="0.25">
      <c r="A106" s="53"/>
      <c r="B106" s="2082" t="s">
        <v>588</v>
      </c>
      <c r="C106" s="2082"/>
      <c r="D106" s="2082"/>
      <c r="E106" s="285" t="str">
        <f>IF(AND(D95&lt;&gt;"",D98&lt;&gt;"",B102&lt;&gt;"",E102&lt;&gt;"",B103&lt;&gt;"",E103&lt;&gt;""),"Yes","No")</f>
        <v>No</v>
      </c>
      <c r="F106" s="53"/>
      <c r="G106" s="53"/>
      <c r="H106" s="53"/>
      <c r="I106" s="53"/>
      <c r="J106" s="53"/>
      <c r="K106" s="53"/>
    </row>
    <row r="107" spans="1:11" ht="18.75" customHeight="1" x14ac:dyDescent="0.25">
      <c r="A107" s="53"/>
      <c r="B107" s="54"/>
      <c r="C107" s="54"/>
      <c r="D107" s="54"/>
      <c r="E107" s="53"/>
      <c r="F107" s="53"/>
      <c r="G107" s="53"/>
      <c r="H107" s="53"/>
      <c r="I107" s="53"/>
      <c r="J107" s="53"/>
      <c r="K107" s="53"/>
    </row>
    <row r="108" spans="1:11" ht="16.5" customHeight="1" x14ac:dyDescent="0.25">
      <c r="A108" s="2083" t="s">
        <v>200</v>
      </c>
      <c r="B108" s="2083"/>
      <c r="C108" s="2083"/>
      <c r="D108" s="54"/>
      <c r="E108" s="54"/>
      <c r="F108" s="54"/>
      <c r="G108" s="54"/>
      <c r="H108" s="54"/>
      <c r="I108" s="54"/>
      <c r="J108" s="54"/>
      <c r="K108" s="54"/>
    </row>
    <row r="109" spans="1:11" ht="12" customHeight="1" x14ac:dyDescent="0.25">
      <c r="A109" s="53"/>
      <c r="B109" s="54"/>
      <c r="C109" s="54"/>
      <c r="D109" s="54"/>
      <c r="E109" s="53"/>
      <c r="F109" s="53"/>
      <c r="G109" s="53"/>
      <c r="H109" s="53"/>
      <c r="I109" s="53"/>
      <c r="J109" s="53"/>
      <c r="K109" s="53"/>
    </row>
    <row r="110" spans="1:11" ht="18" customHeight="1" x14ac:dyDescent="0.25">
      <c r="A110" s="53"/>
      <c r="B110" s="2071" t="s">
        <v>2103</v>
      </c>
      <c r="C110" s="2072"/>
      <c r="D110" s="2072"/>
      <c r="E110" s="2072"/>
      <c r="F110" s="2072"/>
      <c r="G110" s="1085" t="s">
        <v>2101</v>
      </c>
      <c r="H110" s="2075" t="s">
        <v>2102</v>
      </c>
      <c r="I110" s="2076"/>
      <c r="J110" s="53"/>
      <c r="K110" s="53"/>
    </row>
    <row r="111" spans="1:11" ht="24" customHeight="1" x14ac:dyDescent="0.25">
      <c r="A111" s="53"/>
      <c r="B111" s="1436" t="s">
        <v>1221</v>
      </c>
      <c r="C111" s="1437"/>
      <c r="D111" s="1437"/>
      <c r="E111" s="1437"/>
      <c r="F111" s="1438"/>
      <c r="G111" s="518" t="s">
        <v>129</v>
      </c>
      <c r="H111" s="1730"/>
      <c r="I111" s="1729"/>
      <c r="J111" s="53"/>
      <c r="K111" s="53"/>
    </row>
    <row r="112" spans="1:11" ht="18" customHeight="1" x14ac:dyDescent="0.25">
      <c r="A112" s="53"/>
      <c r="B112" s="54"/>
      <c r="C112" s="54"/>
      <c r="D112" s="54"/>
      <c r="E112" s="53"/>
      <c r="F112" s="53"/>
      <c r="G112" s="53"/>
      <c r="H112" s="53"/>
      <c r="I112" s="53"/>
      <c r="J112" s="53"/>
      <c r="K112" s="53"/>
    </row>
    <row r="113" spans="1:13" ht="16.5" customHeight="1" x14ac:dyDescent="0.25">
      <c r="A113" s="2083" t="s">
        <v>25</v>
      </c>
      <c r="B113" s="2083"/>
      <c r="C113" s="2083"/>
      <c r="D113" s="54"/>
      <c r="E113" s="54"/>
      <c r="F113" s="54"/>
      <c r="G113" s="54"/>
      <c r="H113" s="54"/>
      <c r="I113" s="54"/>
      <c r="J113" s="54"/>
      <c r="K113" s="54"/>
    </row>
    <row r="114" spans="1:13" x14ac:dyDescent="0.25">
      <c r="A114" s="53"/>
      <c r="B114" s="54"/>
      <c r="C114" s="54"/>
      <c r="D114" s="54"/>
      <c r="E114" s="54"/>
      <c r="F114" s="53"/>
      <c r="G114" s="53"/>
      <c r="H114" s="53"/>
      <c r="I114" s="53"/>
      <c r="J114" s="53"/>
      <c r="K114" s="53"/>
    </row>
    <row r="115" spans="1:13" ht="18" customHeight="1" x14ac:dyDescent="0.25">
      <c r="A115" s="53"/>
      <c r="B115" s="284" t="s">
        <v>56</v>
      </c>
      <c r="C115" s="12">
        <f>IF(E106="Yes",1,0)</f>
        <v>0</v>
      </c>
      <c r="D115" s="54"/>
      <c r="E115" s="53"/>
      <c r="F115" s="53"/>
      <c r="G115" s="53"/>
      <c r="H115" s="53"/>
      <c r="I115" s="53"/>
      <c r="J115" s="53"/>
      <c r="K115" s="53"/>
    </row>
    <row r="116" spans="1:13" ht="18" customHeight="1" x14ac:dyDescent="0.25">
      <c r="A116" s="53"/>
      <c r="B116" s="284" t="s">
        <v>521</v>
      </c>
      <c r="C116" s="203" t="str">
        <f>IF(AND(G112="Submitted",C115&gt;0),"Yes","No")</f>
        <v>No</v>
      </c>
      <c r="D116" s="54"/>
      <c r="E116" s="54"/>
      <c r="F116" s="53"/>
      <c r="G116" s="53"/>
      <c r="H116" s="53"/>
      <c r="I116" s="53"/>
      <c r="J116" s="53"/>
      <c r="K116" s="53"/>
    </row>
    <row r="117" spans="1:13" ht="21" customHeight="1" x14ac:dyDescent="0.25">
      <c r="A117" s="53"/>
      <c r="B117" s="54"/>
      <c r="C117" s="54"/>
      <c r="D117" s="54"/>
      <c r="E117" s="54"/>
      <c r="F117" s="53"/>
      <c r="G117" s="53"/>
      <c r="H117" s="53"/>
      <c r="I117" s="53"/>
      <c r="J117" s="53"/>
      <c r="K117" s="53"/>
    </row>
    <row r="118" spans="1:13" ht="18" customHeight="1" x14ac:dyDescent="0.25">
      <c r="A118" s="2073" t="s">
        <v>580</v>
      </c>
      <c r="B118" s="2073"/>
      <c r="C118" s="2073"/>
      <c r="D118" s="2073"/>
      <c r="E118" s="2073"/>
      <c r="F118" s="2073"/>
      <c r="G118" s="2073"/>
      <c r="H118" s="2073"/>
      <c r="I118" s="2073"/>
      <c r="J118" s="2073"/>
      <c r="K118" s="2073"/>
    </row>
    <row r="119" spans="1:13" x14ac:dyDescent="0.25">
      <c r="A119" s="53"/>
      <c r="B119" s="53"/>
      <c r="C119" s="54"/>
      <c r="D119" s="54"/>
      <c r="E119" s="54"/>
      <c r="F119" s="53"/>
      <c r="G119" s="53"/>
      <c r="H119" s="53"/>
      <c r="I119" s="53"/>
      <c r="J119" s="53"/>
      <c r="K119" s="53"/>
    </row>
    <row r="120" spans="1:13" ht="16.5" customHeight="1" x14ac:dyDescent="0.25">
      <c r="A120" s="2083" t="s">
        <v>265</v>
      </c>
      <c r="B120" s="2083"/>
      <c r="C120" s="2083"/>
      <c r="D120" s="54"/>
      <c r="E120" s="54"/>
      <c r="F120" s="54"/>
      <c r="G120" s="54"/>
      <c r="H120" s="54"/>
      <c r="I120" s="54"/>
      <c r="J120" s="54"/>
      <c r="K120" s="54"/>
    </row>
    <row r="121" spans="1:13" x14ac:dyDescent="0.25">
      <c r="A121" s="53"/>
      <c r="B121" s="54"/>
      <c r="C121" s="54"/>
      <c r="D121" s="54"/>
      <c r="E121" s="54"/>
      <c r="F121" s="53"/>
      <c r="G121" s="53"/>
      <c r="H121" s="53"/>
      <c r="I121" s="53"/>
      <c r="J121" s="53"/>
      <c r="K121" s="53"/>
    </row>
    <row r="122" spans="1:13" x14ac:dyDescent="0.25">
      <c r="A122" s="53"/>
      <c r="B122" s="2101" t="s">
        <v>1540</v>
      </c>
      <c r="C122" s="2101"/>
      <c r="D122" s="2101"/>
      <c r="E122" s="2101"/>
      <c r="F122" s="2101"/>
      <c r="G122" s="2101"/>
      <c r="H122" s="2101"/>
      <c r="I122" s="2101"/>
      <c r="J122" s="2101"/>
      <c r="K122" s="53"/>
    </row>
    <row r="123" spans="1:13" ht="18" customHeight="1" x14ac:dyDescent="0.25">
      <c r="A123" s="53"/>
      <c r="B123" s="649"/>
      <c r="C123" s="649"/>
      <c r="D123" s="649"/>
      <c r="E123" s="649"/>
      <c r="F123" s="649"/>
      <c r="G123" s="649"/>
      <c r="H123" s="649"/>
      <c r="I123" s="649"/>
      <c r="J123" s="649"/>
      <c r="K123" s="53"/>
    </row>
    <row r="124" spans="1:13" x14ac:dyDescent="0.25">
      <c r="A124" s="53"/>
      <c r="B124" s="717" t="s">
        <v>1294</v>
      </c>
      <c r="C124" s="54"/>
      <c r="D124" s="54"/>
      <c r="E124" s="54"/>
      <c r="F124" s="53"/>
      <c r="G124" s="53"/>
      <c r="H124" s="53"/>
      <c r="I124" s="53"/>
      <c r="J124" s="53"/>
      <c r="K124" s="53"/>
    </row>
    <row r="125" spans="1:13" ht="10.5" customHeight="1" x14ac:dyDescent="0.25">
      <c r="A125" s="53"/>
      <c r="B125" s="717"/>
      <c r="C125" s="54"/>
      <c r="D125" s="54"/>
      <c r="E125" s="54"/>
      <c r="F125" s="53"/>
      <c r="G125" s="53"/>
      <c r="H125" s="53"/>
      <c r="I125" s="53"/>
      <c r="J125" s="53"/>
      <c r="K125" s="53"/>
    </row>
    <row r="126" spans="1:13" ht="18" customHeight="1" x14ac:dyDescent="0.25">
      <c r="A126" s="53"/>
      <c r="B126" s="2051" t="s">
        <v>1669</v>
      </c>
      <c r="C126" s="2051"/>
      <c r="D126" s="2051"/>
      <c r="E126" s="2051"/>
      <c r="F126" s="2051"/>
      <c r="G126" s="1191" t="s">
        <v>129</v>
      </c>
      <c r="H126" s="53"/>
      <c r="I126" s="53"/>
      <c r="J126" s="53"/>
      <c r="K126" s="53"/>
      <c r="L126" s="87" t="b">
        <v>0</v>
      </c>
      <c r="M126" s="87"/>
    </row>
    <row r="127" spans="1:13" ht="18" customHeight="1" x14ac:dyDescent="0.25">
      <c r="A127" s="53"/>
      <c r="B127" s="2051" t="s">
        <v>1543</v>
      </c>
      <c r="C127" s="2051"/>
      <c r="D127" s="2051"/>
      <c r="E127" s="2051"/>
      <c r="F127" s="2051"/>
      <c r="G127" s="1191" t="s">
        <v>129</v>
      </c>
      <c r="H127" s="53"/>
      <c r="I127" s="53"/>
      <c r="J127" s="53"/>
      <c r="K127" s="53"/>
      <c r="L127" s="87" t="b">
        <v>0</v>
      </c>
      <c r="M127" s="87" t="b">
        <v>0</v>
      </c>
    </row>
    <row r="128" spans="1:13" ht="18" customHeight="1" x14ac:dyDescent="0.25">
      <c r="A128" s="53"/>
      <c r="B128" s="2051" t="s">
        <v>1544</v>
      </c>
      <c r="C128" s="2051"/>
      <c r="D128" s="2051"/>
      <c r="E128" s="2051"/>
      <c r="F128" s="2051"/>
      <c r="G128" s="1191" t="s">
        <v>129</v>
      </c>
      <c r="H128" s="53"/>
      <c r="I128" s="53"/>
      <c r="J128" s="53"/>
      <c r="K128" s="53"/>
      <c r="L128" s="87" t="b">
        <v>0</v>
      </c>
      <c r="M128" s="87"/>
    </row>
    <row r="129" spans="1:11" ht="12" customHeight="1" x14ac:dyDescent="0.25">
      <c r="A129" s="53"/>
      <c r="B129" s="71"/>
      <c r="C129" s="54"/>
      <c r="D129" s="54"/>
      <c r="E129" s="54"/>
      <c r="F129" s="53"/>
      <c r="G129" s="53"/>
      <c r="H129" s="53"/>
      <c r="I129" s="53"/>
      <c r="J129" s="53"/>
      <c r="K129" s="53"/>
    </row>
    <row r="130" spans="1:11" ht="18" customHeight="1" x14ac:dyDescent="0.25">
      <c r="A130" s="53"/>
      <c r="B130" s="2082" t="s">
        <v>589</v>
      </c>
      <c r="C130" s="2082"/>
      <c r="D130" s="2082"/>
      <c r="E130" s="285" t="str">
        <f>IF(AND(G126="Yes",G127="Yes",G128="Yes"),"Yes","No")</f>
        <v>No</v>
      </c>
      <c r="F130" s="53"/>
      <c r="G130" s="53"/>
      <c r="H130" s="53"/>
      <c r="I130" s="53"/>
      <c r="J130" s="53"/>
      <c r="K130" s="53"/>
    </row>
    <row r="131" spans="1:11" ht="19.5" customHeight="1" x14ac:dyDescent="0.25">
      <c r="A131" s="53"/>
      <c r="B131" s="54"/>
      <c r="C131" s="54"/>
      <c r="D131" s="54"/>
      <c r="E131" s="53"/>
      <c r="F131" s="53"/>
      <c r="G131" s="53"/>
      <c r="H131" s="53"/>
      <c r="I131" s="53"/>
      <c r="J131" s="53"/>
      <c r="K131" s="53"/>
    </row>
    <row r="132" spans="1:11" ht="16.5" customHeight="1" x14ac:dyDescent="0.25">
      <c r="A132" s="2083" t="s">
        <v>200</v>
      </c>
      <c r="B132" s="2083"/>
      <c r="C132" s="2083"/>
      <c r="D132" s="54"/>
      <c r="E132" s="54"/>
      <c r="F132" s="54"/>
      <c r="G132" s="54"/>
      <c r="H132" s="54"/>
      <c r="I132" s="54"/>
      <c r="J132" s="54"/>
      <c r="K132" s="54"/>
    </row>
    <row r="133" spans="1:11" x14ac:dyDescent="0.25">
      <c r="A133" s="53"/>
      <c r="B133" s="54"/>
      <c r="C133" s="54"/>
      <c r="D133" s="54"/>
      <c r="E133" s="53"/>
      <c r="F133" s="53"/>
      <c r="G133" s="53"/>
      <c r="H133" s="53"/>
      <c r="I133" s="53"/>
      <c r="J133" s="53"/>
      <c r="K133" s="53"/>
    </row>
    <row r="134" spans="1:11" ht="18" customHeight="1" x14ac:dyDescent="0.25">
      <c r="A134" s="53"/>
      <c r="B134" s="2071" t="s">
        <v>2103</v>
      </c>
      <c r="C134" s="2072"/>
      <c r="D134" s="2072"/>
      <c r="E134" s="2072"/>
      <c r="F134" s="2072"/>
      <c r="G134" s="1085" t="s">
        <v>2101</v>
      </c>
      <c r="H134" s="2075" t="s">
        <v>2102</v>
      </c>
      <c r="I134" s="2076"/>
      <c r="J134" s="53"/>
      <c r="K134" s="53"/>
    </row>
    <row r="135" spans="1:11" ht="27.75" customHeight="1" x14ac:dyDescent="0.25">
      <c r="A135" s="53"/>
      <c r="B135" s="2096" t="s">
        <v>1541</v>
      </c>
      <c r="C135" s="2097"/>
      <c r="D135" s="2097"/>
      <c r="E135" s="2097"/>
      <c r="F135" s="2098"/>
      <c r="G135" s="754" t="s">
        <v>129</v>
      </c>
      <c r="H135" s="1730"/>
      <c r="I135" s="1729"/>
      <c r="J135" s="53"/>
      <c r="K135" s="53"/>
    </row>
    <row r="136" spans="1:11" ht="19.5" customHeight="1" x14ac:dyDescent="0.25">
      <c r="A136" s="53"/>
      <c r="B136" s="54"/>
      <c r="C136" s="54"/>
      <c r="D136" s="54"/>
      <c r="E136" s="53"/>
      <c r="F136" s="53"/>
      <c r="G136" s="53"/>
      <c r="H136" s="53"/>
      <c r="I136" s="53"/>
      <c r="J136" s="53"/>
      <c r="K136" s="53"/>
    </row>
    <row r="137" spans="1:11" ht="16.5" customHeight="1" x14ac:dyDescent="0.25">
      <c r="A137" s="2083" t="s">
        <v>25</v>
      </c>
      <c r="B137" s="2083"/>
      <c r="C137" s="2083"/>
      <c r="D137" s="54"/>
      <c r="E137" s="54"/>
      <c r="F137" s="54"/>
      <c r="G137" s="54"/>
      <c r="H137" s="54"/>
      <c r="I137" s="54"/>
      <c r="J137" s="54"/>
      <c r="K137" s="54"/>
    </row>
    <row r="138" spans="1:11" x14ac:dyDescent="0.25">
      <c r="A138" s="53"/>
      <c r="B138" s="54"/>
      <c r="C138" s="54"/>
      <c r="D138" s="54"/>
      <c r="E138" s="54"/>
      <c r="F138" s="53"/>
      <c r="G138" s="53"/>
      <c r="H138" s="53"/>
      <c r="I138" s="53"/>
      <c r="J138" s="53"/>
      <c r="K138" s="53"/>
    </row>
    <row r="139" spans="1:11" ht="18" customHeight="1" x14ac:dyDescent="0.25">
      <c r="A139" s="53"/>
      <c r="B139" s="284" t="s">
        <v>56</v>
      </c>
      <c r="C139" s="12">
        <f>IF(E130="Yes",1,0)</f>
        <v>0</v>
      </c>
      <c r="D139" s="54"/>
      <c r="E139" s="53"/>
      <c r="F139" s="53"/>
      <c r="G139" s="53"/>
      <c r="H139" s="53"/>
      <c r="I139" s="53"/>
      <c r="J139" s="53"/>
      <c r="K139" s="53"/>
    </row>
    <row r="140" spans="1:11" ht="18" customHeight="1" x14ac:dyDescent="0.25">
      <c r="A140" s="53"/>
      <c r="B140" s="284" t="s">
        <v>521</v>
      </c>
      <c r="C140" s="203" t="str">
        <f>IF(AND(G135="Submitted",C139&gt;0),"Yes","No")</f>
        <v>No</v>
      </c>
      <c r="D140" s="54"/>
      <c r="E140" s="54"/>
      <c r="F140" s="53"/>
      <c r="G140" s="53"/>
      <c r="H140" s="53"/>
      <c r="I140" s="53"/>
      <c r="J140" s="53"/>
      <c r="K140" s="53"/>
    </row>
    <row r="141" spans="1:11" ht="19.5" customHeight="1" x14ac:dyDescent="0.25">
      <c r="A141" s="53"/>
      <c r="B141" s="54"/>
      <c r="C141" s="54"/>
      <c r="D141" s="54"/>
      <c r="E141" s="54"/>
      <c r="F141" s="53"/>
      <c r="G141" s="53"/>
      <c r="H141" s="53"/>
      <c r="I141" s="53"/>
      <c r="J141" s="53"/>
      <c r="K141" s="53"/>
    </row>
    <row r="142" spans="1:11" ht="18" customHeight="1" x14ac:dyDescent="0.25">
      <c r="A142" s="2073" t="s">
        <v>581</v>
      </c>
      <c r="B142" s="2073"/>
      <c r="C142" s="2073"/>
      <c r="D142" s="2073"/>
      <c r="E142" s="2073"/>
      <c r="F142" s="2073"/>
      <c r="G142" s="2073"/>
      <c r="H142" s="2073"/>
      <c r="I142" s="2073"/>
      <c r="J142" s="2073"/>
      <c r="K142" s="2073"/>
    </row>
    <row r="143" spans="1:11" x14ac:dyDescent="0.25">
      <c r="A143" s="53"/>
      <c r="B143" s="53"/>
      <c r="C143" s="54"/>
      <c r="D143" s="54"/>
      <c r="E143" s="54"/>
      <c r="F143" s="53"/>
      <c r="G143" s="53"/>
      <c r="H143" s="53"/>
      <c r="I143" s="53"/>
      <c r="J143" s="53"/>
      <c r="K143" s="53"/>
    </row>
    <row r="144" spans="1:11" ht="16.5" customHeight="1" x14ac:dyDescent="0.25">
      <c r="A144" s="2083" t="s">
        <v>265</v>
      </c>
      <c r="B144" s="2083"/>
      <c r="C144" s="2083"/>
      <c r="D144" s="54"/>
      <c r="E144" s="54"/>
      <c r="F144" s="54"/>
      <c r="G144" s="54"/>
      <c r="H144" s="54"/>
      <c r="I144" s="54"/>
      <c r="J144" s="54"/>
      <c r="K144" s="54"/>
    </row>
    <row r="145" spans="1:11" ht="12.75" customHeight="1" x14ac:dyDescent="0.25">
      <c r="A145" s="53"/>
      <c r="B145" s="54"/>
      <c r="C145" s="54"/>
      <c r="D145" s="54"/>
      <c r="E145" s="54"/>
      <c r="F145" s="53"/>
      <c r="G145" s="53"/>
      <c r="H145" s="53"/>
      <c r="I145" s="53"/>
      <c r="J145" s="53"/>
      <c r="K145" s="53"/>
    </row>
    <row r="146" spans="1:11" ht="12.75" customHeight="1" x14ac:dyDescent="0.25">
      <c r="A146" s="53"/>
      <c r="B146" s="892" t="s">
        <v>2388</v>
      </c>
      <c r="C146" s="54"/>
      <c r="D146" s="54"/>
      <c r="E146" s="54"/>
      <c r="F146" s="53"/>
      <c r="G146" s="53"/>
      <c r="H146" s="53"/>
      <c r="I146" s="53"/>
      <c r="J146" s="53"/>
      <c r="K146" s="53"/>
    </row>
    <row r="147" spans="1:11" ht="20.25" customHeight="1" x14ac:dyDescent="0.25">
      <c r="A147" s="53"/>
      <c r="B147" s="892"/>
      <c r="C147" s="54"/>
      <c r="D147" s="54"/>
      <c r="E147" s="54"/>
      <c r="F147" s="53"/>
      <c r="G147" s="53"/>
      <c r="H147" s="53"/>
      <c r="I147" s="53"/>
      <c r="J147" s="53"/>
      <c r="K147" s="53"/>
    </row>
    <row r="148" spans="1:11" x14ac:dyDescent="0.25">
      <c r="A148" s="53"/>
      <c r="B148" s="717" t="s">
        <v>1670</v>
      </c>
      <c r="C148" s="54"/>
      <c r="D148" s="54"/>
      <c r="E148" s="54"/>
      <c r="F148" s="53"/>
      <c r="G148" s="53"/>
      <c r="H148" s="53"/>
      <c r="I148" s="53"/>
      <c r="J148" s="53"/>
      <c r="K148" s="53"/>
    </row>
    <row r="149" spans="1:11" ht="9" customHeight="1" x14ac:dyDescent="0.25">
      <c r="A149" s="53"/>
      <c r="B149" s="207"/>
      <c r="C149" s="54"/>
      <c r="D149" s="54"/>
      <c r="E149" s="54"/>
      <c r="F149" s="53"/>
      <c r="G149" s="53"/>
      <c r="H149" s="53"/>
      <c r="I149" s="53"/>
      <c r="J149" s="53"/>
      <c r="K149" s="53"/>
    </row>
    <row r="150" spans="1:11" ht="18" customHeight="1" x14ac:dyDescent="0.25">
      <c r="A150" s="53"/>
      <c r="B150" s="2099" t="s">
        <v>597</v>
      </c>
      <c r="C150" s="2100"/>
      <c r="D150" s="1781"/>
      <c r="E150" s="1782"/>
      <c r="F150" s="53"/>
      <c r="G150" s="53"/>
      <c r="H150" s="53"/>
      <c r="I150" s="53"/>
      <c r="J150" s="53"/>
      <c r="K150" s="53"/>
    </row>
    <row r="151" spans="1:11" ht="18" customHeight="1" x14ac:dyDescent="0.25">
      <c r="A151" s="53"/>
      <c r="B151" s="2099" t="s">
        <v>598</v>
      </c>
      <c r="C151" s="2100"/>
      <c r="D151" s="1781"/>
      <c r="E151" s="1782"/>
      <c r="F151" s="53"/>
      <c r="G151" s="53"/>
      <c r="H151" s="53"/>
      <c r="I151" s="53"/>
      <c r="J151" s="53"/>
      <c r="K151" s="53"/>
    </row>
    <row r="152" spans="1:11" ht="24.75" customHeight="1" x14ac:dyDescent="0.25">
      <c r="A152" s="53"/>
      <c r="B152" s="2099" t="s">
        <v>599</v>
      </c>
      <c r="C152" s="2100"/>
      <c r="D152" s="1781"/>
      <c r="E152" s="1782"/>
      <c r="F152" s="53"/>
      <c r="G152" s="53"/>
      <c r="H152" s="53"/>
      <c r="I152" s="53"/>
      <c r="J152" s="53"/>
      <c r="K152" s="53"/>
    </row>
    <row r="153" spans="1:11" ht="18" customHeight="1" x14ac:dyDescent="0.25">
      <c r="A153" s="53"/>
      <c r="B153" s="2099" t="s">
        <v>600</v>
      </c>
      <c r="C153" s="2100"/>
      <c r="D153" s="1781"/>
      <c r="E153" s="1782"/>
      <c r="F153" s="53"/>
      <c r="G153" s="53"/>
      <c r="H153" s="53"/>
      <c r="I153" s="53"/>
      <c r="J153" s="53"/>
      <c r="K153" s="53"/>
    </row>
    <row r="154" spans="1:11" ht="18" customHeight="1" x14ac:dyDescent="0.25">
      <c r="A154" s="53"/>
      <c r="B154" s="2099" t="s">
        <v>601</v>
      </c>
      <c r="C154" s="2100"/>
      <c r="D154" s="1781"/>
      <c r="E154" s="1782"/>
      <c r="F154" s="53"/>
      <c r="G154" s="53"/>
      <c r="H154" s="53"/>
      <c r="I154" s="53"/>
      <c r="J154" s="53"/>
      <c r="K154" s="53"/>
    </row>
    <row r="155" spans="1:11" ht="18" customHeight="1" x14ac:dyDescent="0.25">
      <c r="A155" s="53"/>
      <c r="B155" s="54"/>
      <c r="C155" s="54"/>
      <c r="D155" s="54"/>
      <c r="E155" s="54"/>
      <c r="F155" s="53"/>
      <c r="G155" s="53"/>
      <c r="H155" s="53"/>
      <c r="I155" s="53"/>
      <c r="J155" s="53"/>
      <c r="K155" s="53"/>
    </row>
    <row r="156" spans="1:11" ht="18" customHeight="1" x14ac:dyDescent="0.25">
      <c r="A156" s="53"/>
      <c r="B156" s="2082" t="s">
        <v>590</v>
      </c>
      <c r="C156" s="2082"/>
      <c r="D156" s="2082"/>
      <c r="E156" s="285" t="str">
        <f>IF(AND(D150&lt;&gt;"",COUNTIF(D151:E154,"&gt;&lt;")=4),"Yes","No")</f>
        <v>No</v>
      </c>
      <c r="F156" s="53"/>
      <c r="G156" s="53"/>
      <c r="H156" s="53"/>
      <c r="I156" s="53"/>
      <c r="J156" s="53"/>
      <c r="K156" s="53"/>
    </row>
    <row r="157" spans="1:11" ht="18.75" customHeight="1" x14ac:dyDescent="0.25">
      <c r="A157" s="53"/>
      <c r="B157" s="54"/>
      <c r="C157" s="54"/>
      <c r="D157" s="54"/>
      <c r="E157" s="53"/>
      <c r="F157" s="53"/>
      <c r="G157" s="53"/>
      <c r="H157" s="53"/>
      <c r="I157" s="53"/>
      <c r="J157" s="53"/>
      <c r="K157" s="53"/>
    </row>
    <row r="158" spans="1:11" ht="16.5" customHeight="1" x14ac:dyDescent="0.25">
      <c r="A158" s="2083" t="s">
        <v>200</v>
      </c>
      <c r="B158" s="2083"/>
      <c r="C158" s="2083"/>
      <c r="D158" s="54"/>
      <c r="E158" s="54"/>
      <c r="F158" s="54"/>
      <c r="G158" s="54"/>
      <c r="H158" s="54"/>
      <c r="I158" s="54"/>
      <c r="J158" s="54"/>
      <c r="K158" s="54"/>
    </row>
    <row r="159" spans="1:11" x14ac:dyDescent="0.25">
      <c r="A159" s="53"/>
      <c r="B159" s="54"/>
      <c r="C159" s="54"/>
      <c r="D159" s="54"/>
      <c r="E159" s="53"/>
      <c r="F159" s="53"/>
      <c r="G159" s="53"/>
      <c r="H159" s="53"/>
      <c r="I159" s="53"/>
      <c r="J159" s="53"/>
      <c r="K159" s="53"/>
    </row>
    <row r="160" spans="1:11" ht="18" customHeight="1" x14ac:dyDescent="0.25">
      <c r="A160" s="53"/>
      <c r="B160" s="2071" t="s">
        <v>2103</v>
      </c>
      <c r="C160" s="2072"/>
      <c r="D160" s="2072"/>
      <c r="E160" s="2072"/>
      <c r="F160" s="2072"/>
      <c r="G160" s="1085" t="s">
        <v>2101</v>
      </c>
      <c r="H160" s="2075" t="s">
        <v>2102</v>
      </c>
      <c r="I160" s="2076"/>
      <c r="J160" s="53"/>
      <c r="K160" s="53"/>
    </row>
    <row r="161" spans="1:11" ht="24" customHeight="1" x14ac:dyDescent="0.25">
      <c r="A161" s="53"/>
      <c r="B161" s="1436" t="s">
        <v>1542</v>
      </c>
      <c r="C161" s="1437"/>
      <c r="D161" s="1437"/>
      <c r="E161" s="1437"/>
      <c r="F161" s="1438"/>
      <c r="G161" s="518" t="s">
        <v>129</v>
      </c>
      <c r="H161" s="1730"/>
      <c r="I161" s="1729"/>
      <c r="J161" s="53"/>
      <c r="K161" s="53"/>
    </row>
    <row r="162" spans="1:11" hidden="1" x14ac:dyDescent="0.25">
      <c r="A162" s="53"/>
      <c r="B162" s="894">
        <v>2</v>
      </c>
      <c r="C162" s="2058" t="s">
        <v>616</v>
      </c>
      <c r="D162" s="2058"/>
      <c r="E162" s="2058"/>
      <c r="F162" s="2058"/>
      <c r="G162" s="392"/>
      <c r="H162" s="53"/>
      <c r="I162" s="53"/>
      <c r="J162" s="53"/>
      <c r="K162" s="53"/>
    </row>
    <row r="163" spans="1:11" x14ac:dyDescent="0.25">
      <c r="A163" s="53"/>
      <c r="B163" s="54"/>
      <c r="C163" s="54"/>
      <c r="D163" s="54"/>
      <c r="E163" s="53"/>
      <c r="F163" s="53"/>
      <c r="G163" s="53"/>
      <c r="H163" s="53"/>
      <c r="I163" s="53"/>
      <c r="J163" s="53"/>
      <c r="K163" s="53"/>
    </row>
    <row r="164" spans="1:11" ht="16.5" customHeight="1" x14ac:dyDescent="0.25">
      <c r="A164" s="2083" t="s">
        <v>25</v>
      </c>
      <c r="B164" s="2083"/>
      <c r="C164" s="2083"/>
      <c r="D164" s="54"/>
      <c r="E164" s="54"/>
      <c r="F164" s="54"/>
      <c r="G164" s="54"/>
      <c r="H164" s="54"/>
      <c r="I164" s="54"/>
      <c r="J164" s="54"/>
      <c r="K164" s="54"/>
    </row>
    <row r="165" spans="1:11" x14ac:dyDescent="0.25">
      <c r="A165" s="53"/>
      <c r="B165" s="54"/>
      <c r="C165" s="54"/>
      <c r="D165" s="54"/>
      <c r="E165" s="54"/>
      <c r="F165" s="53"/>
      <c r="G165" s="53"/>
      <c r="H165" s="53"/>
      <c r="I165" s="53"/>
      <c r="J165" s="53"/>
      <c r="K165" s="53"/>
    </row>
    <row r="166" spans="1:11" ht="18" customHeight="1" x14ac:dyDescent="0.25">
      <c r="A166" s="53"/>
      <c r="B166" s="284" t="s">
        <v>56</v>
      </c>
      <c r="C166" s="12">
        <f>IF(E156="Yes",1,0)</f>
        <v>0</v>
      </c>
      <c r="D166" s="54"/>
      <c r="E166" s="53"/>
      <c r="F166" s="53"/>
      <c r="G166" s="53"/>
      <c r="H166" s="53"/>
      <c r="I166" s="53"/>
      <c r="J166" s="53"/>
      <c r="K166" s="53"/>
    </row>
    <row r="167" spans="1:11" ht="18" customHeight="1" x14ac:dyDescent="0.25">
      <c r="A167" s="53"/>
      <c r="B167" s="284" t="s">
        <v>521</v>
      </c>
      <c r="C167" s="203" t="str">
        <f>IF(AND(G162="Submitted",C166&gt;0),"Yes","No")</f>
        <v>No</v>
      </c>
      <c r="D167" s="54"/>
      <c r="E167" s="54"/>
      <c r="F167" s="53"/>
      <c r="G167" s="53"/>
      <c r="H167" s="53"/>
      <c r="I167" s="53"/>
      <c r="J167" s="53"/>
      <c r="K167" s="53"/>
    </row>
    <row r="168" spans="1:11" x14ac:dyDescent="0.25">
      <c r="A168" s="53"/>
      <c r="B168" s="54"/>
      <c r="C168" s="54"/>
      <c r="D168" s="54"/>
      <c r="E168" s="54"/>
      <c r="F168" s="53"/>
      <c r="G168" s="53"/>
      <c r="H168" s="53"/>
      <c r="I168" s="53"/>
      <c r="J168" s="53"/>
      <c r="K168" s="53"/>
    </row>
    <row r="169" spans="1:11" ht="15" hidden="1" customHeight="1" x14ac:dyDescent="0.25"/>
    <row r="170" spans="1:11" ht="15" hidden="1" customHeight="1" x14ac:dyDescent="0.25"/>
    <row r="171" spans="1:11" ht="15" hidden="1" customHeight="1" x14ac:dyDescent="0.25"/>
    <row r="172" spans="1:11" ht="15" hidden="1" customHeight="1" x14ac:dyDescent="0.25"/>
    <row r="173" spans="1:11" ht="15" hidden="1" customHeight="1" x14ac:dyDescent="0.25"/>
    <row r="174" spans="1:11" ht="15" hidden="1" customHeight="1" x14ac:dyDescent="0.25"/>
    <row r="175" spans="1:11" ht="15" hidden="1" customHeight="1" x14ac:dyDescent="0.25"/>
    <row r="176" spans="1:11"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sheetData>
  <sheetProtection password="DAFC" sheet="1" objects="1" scenarios="1"/>
  <mergeCells count="108">
    <mergeCell ref="A1:K1"/>
    <mergeCell ref="I2:J4"/>
    <mergeCell ref="A5:K7"/>
    <mergeCell ref="G71:H71"/>
    <mergeCell ref="A50:K50"/>
    <mergeCell ref="A19:K19"/>
    <mergeCell ref="A9:K9"/>
    <mergeCell ref="B17:E17"/>
    <mergeCell ref="D27:H27"/>
    <mergeCell ref="B11:E11"/>
    <mergeCell ref="B12:E12"/>
    <mergeCell ref="B27:C27"/>
    <mergeCell ref="B13:E13"/>
    <mergeCell ref="B14:E14"/>
    <mergeCell ref="B15:E15"/>
    <mergeCell ref="B16:E16"/>
    <mergeCell ref="A21:C21"/>
    <mergeCell ref="A40:C40"/>
    <mergeCell ref="A45:C45"/>
    <mergeCell ref="B38:D38"/>
    <mergeCell ref="B28:C28"/>
    <mergeCell ref="C67:D67"/>
    <mergeCell ref="C68:D68"/>
    <mergeCell ref="C69:D69"/>
    <mergeCell ref="B154:C154"/>
    <mergeCell ref="A137:C137"/>
    <mergeCell ref="A144:C144"/>
    <mergeCell ref="A118:K118"/>
    <mergeCell ref="B126:F126"/>
    <mergeCell ref="A108:C108"/>
    <mergeCell ref="A88:C88"/>
    <mergeCell ref="C72:D72"/>
    <mergeCell ref="B90:J90"/>
    <mergeCell ref="B95:C95"/>
    <mergeCell ref="H135:I135"/>
    <mergeCell ref="H111:I111"/>
    <mergeCell ref="B106:D106"/>
    <mergeCell ref="B75:D75"/>
    <mergeCell ref="C73:D73"/>
    <mergeCell ref="A86:K86"/>
    <mergeCell ref="G72:H72"/>
    <mergeCell ref="A132:C132"/>
    <mergeCell ref="A77:C77"/>
    <mergeCell ref="B110:F110"/>
    <mergeCell ref="H110:I110"/>
    <mergeCell ref="B134:F134"/>
    <mergeCell ref="E103:G103"/>
    <mergeCell ref="B104:D104"/>
    <mergeCell ref="D33:H33"/>
    <mergeCell ref="D34:H34"/>
    <mergeCell ref="B35:C35"/>
    <mergeCell ref="D35:H35"/>
    <mergeCell ref="B23:I23"/>
    <mergeCell ref="B24:I24"/>
    <mergeCell ref="B43:F43"/>
    <mergeCell ref="B33:C33"/>
    <mergeCell ref="B34:C34"/>
    <mergeCell ref="B42:F42"/>
    <mergeCell ref="H42:I42"/>
    <mergeCell ref="D28:H28"/>
    <mergeCell ref="H43:I43"/>
    <mergeCell ref="A164:C164"/>
    <mergeCell ref="B111:F111"/>
    <mergeCell ref="B135:F135"/>
    <mergeCell ref="B161:F161"/>
    <mergeCell ref="B151:C151"/>
    <mergeCell ref="D150:E150"/>
    <mergeCell ref="D151:E151"/>
    <mergeCell ref="B153:C153"/>
    <mergeCell ref="D153:E153"/>
    <mergeCell ref="B152:C152"/>
    <mergeCell ref="D152:E152"/>
    <mergeCell ref="B130:D130"/>
    <mergeCell ref="D154:E154"/>
    <mergeCell ref="B150:C150"/>
    <mergeCell ref="B127:F127"/>
    <mergeCell ref="B122:J122"/>
    <mergeCell ref="A113:C113"/>
    <mergeCell ref="B160:F160"/>
    <mergeCell ref="H160:I160"/>
    <mergeCell ref="H161:I161"/>
    <mergeCell ref="C162:F162"/>
    <mergeCell ref="A158:C158"/>
    <mergeCell ref="B128:F128"/>
    <mergeCell ref="B156:D156"/>
    <mergeCell ref="A142:K142"/>
    <mergeCell ref="A52:C52"/>
    <mergeCell ref="B54:J54"/>
    <mergeCell ref="G67:H67"/>
    <mergeCell ref="G68:H68"/>
    <mergeCell ref="D98:H98"/>
    <mergeCell ref="C71:D71"/>
    <mergeCell ref="G69:H69"/>
    <mergeCell ref="G70:H70"/>
    <mergeCell ref="C70:D70"/>
    <mergeCell ref="B79:G79"/>
    <mergeCell ref="D95:H95"/>
    <mergeCell ref="A81:C81"/>
    <mergeCell ref="G73:H73"/>
    <mergeCell ref="B98:C98"/>
    <mergeCell ref="H134:I134"/>
    <mergeCell ref="A120:C120"/>
    <mergeCell ref="E104:G104"/>
    <mergeCell ref="B101:D101"/>
    <mergeCell ref="E101:G101"/>
    <mergeCell ref="B102:D102"/>
    <mergeCell ref="E102:G102"/>
    <mergeCell ref="B103:D103"/>
  </mergeCells>
  <conditionalFormatting sqref="G111">
    <cfRule type="expression" dxfId="28" priority="12">
      <formula>#REF!&lt;&gt;"Prescriptive Path"</formula>
    </cfRule>
  </conditionalFormatting>
  <conditionalFormatting sqref="G135">
    <cfRule type="expression" dxfId="27" priority="11">
      <formula>#REF!&lt;&gt;"Prescriptive Path"</formula>
    </cfRule>
  </conditionalFormatting>
  <conditionalFormatting sqref="G161">
    <cfRule type="expression" dxfId="26" priority="10">
      <formula>#REF!&lt;&gt;"Prescriptive Path"</formula>
    </cfRule>
  </conditionalFormatting>
  <conditionalFormatting sqref="G43">
    <cfRule type="expression" dxfId="25" priority="9">
      <formula>#REF!&lt;&gt;"Prescriptive Path"</formula>
    </cfRule>
  </conditionalFormatting>
  <conditionalFormatting sqref="H42:I42">
    <cfRule type="expression" dxfId="24" priority="8">
      <formula>#REF!&lt;&gt;"Prescriptive Path"</formula>
    </cfRule>
  </conditionalFormatting>
  <conditionalFormatting sqref="H110:I110">
    <cfRule type="expression" dxfId="23" priority="7">
      <formula>#REF!&lt;&gt;"Prescriptive Path"</formula>
    </cfRule>
  </conditionalFormatting>
  <conditionalFormatting sqref="H134:I134">
    <cfRule type="expression" dxfId="22" priority="6">
      <formula>#REF!&lt;&gt;"Prescriptive Path"</formula>
    </cfRule>
  </conditionalFormatting>
  <conditionalFormatting sqref="H160:I160">
    <cfRule type="expression" dxfId="21" priority="5">
      <formula>#REF!&lt;&gt;"Prescriptive Path"</formula>
    </cfRule>
  </conditionalFormatting>
  <conditionalFormatting sqref="H161">
    <cfRule type="expression" dxfId="20" priority="4">
      <formula>#REF!&lt;&gt;"Prescriptive Path"</formula>
    </cfRule>
  </conditionalFormatting>
  <conditionalFormatting sqref="H135">
    <cfRule type="expression" dxfId="19" priority="3">
      <formula>#REF!&lt;&gt;"Prescriptive Path"</formula>
    </cfRule>
  </conditionalFormatting>
  <conditionalFormatting sqref="H111">
    <cfRule type="expression" dxfId="18" priority="2">
      <formula>#REF!&lt;&gt;"Prescriptive Path"</formula>
    </cfRule>
  </conditionalFormatting>
  <conditionalFormatting sqref="H43">
    <cfRule type="expression" dxfId="17" priority="1">
      <formula>#REF!&lt;&gt;"Prescriptive Path"</formula>
    </cfRule>
  </conditionalFormatting>
  <dataValidations count="11">
    <dataValidation type="list" allowBlank="1" showInputMessage="1" showErrorMessage="1" sqref="G161:G162 G135 G43 G111">
      <formula1>"Submitted,Not submitted"</formula1>
    </dataValidation>
    <dataValidation allowBlank="1" showInputMessage="1" showErrorMessage="1" prompt="Onsite, recycling facilities, landfill, reuse location, etc." sqref="F67"/>
    <dataValidation allowBlank="1" showInputMessage="1" showErrorMessage="1" prompt="Measures include:_x000a_Earth Dikes/Drainage Swales &amp; Lined Ditches, _x000a_Outlet Protection/Velocity Dissipation Devices, _x000a_Slope Drains, _x000a_Streambank Stabilization, etc." sqref="B28:C28"/>
    <dataValidation allowBlank="1" showInputMessage="1" showErrorMessage="1" prompt="Measures include: _x000a_mulching, _x000a_vegetation, _x000a_erosion control blankets, etc." sqref="B34:H34"/>
    <dataValidation allowBlank="1" showInputMessage="1" showErrorMessage="1" prompt="Measures include: _x000a_Silt Fence, Sediment Basin, Sediment Trap, Check Dam, Fiber Rolls, Sandbag Barrier, Storm Drain Inlet Protection, etc." sqref="B35:H35"/>
    <dataValidation allowBlank="1" showInputMessage="1" showErrorMessage="1" prompt="Include any activity that could increase the rate of erosion such as: clearing, grubbing, grading, excavation, etc." sqref="B33:H33"/>
    <dataValidation allowBlank="1" showInputMessage="1" showErrorMessage="1" prompt="Can be adjoining residential properties, schools, places of worship, etc" sqref="B95:H95"/>
    <dataValidation allowBlank="1" showInputMessage="1" showErrorMessage="1" prompt="Measures include:_x000a_- Limit construction hours to 9:00am – 5:00pm_x000a_- Notify neighbours of construction periods_x000a_- Install noise barriers_x000a_- Modify a noisy process or equipment _x000a_- Use well-maintained equipment" sqref="B101:B104"/>
    <dataValidation allowBlank="1" showInputMessage="1" showErrorMessage="1" prompt="Can be drilling, piling, jackhammering, heavy machinery, etc." sqref="B98:H98"/>
    <dataValidation type="list" allowBlank="1" showInputMessage="1" showErrorMessage="1" sqref="E68:E73">
      <formula1>"Select,Reuse,Recycling,Landfill,Other"</formula1>
    </dataValidation>
    <dataValidation type="list" allowBlank="1" showInputMessage="1" showErrorMessage="1" sqref="G126:G128">
      <formula1>"Select,Yes,No"</formula1>
    </dataValidation>
  </dataValidations>
  <hyperlinks>
    <hyperlink ref="K2" location="'CM-1 Design Stage'!C3" tooltip="CM-1" display="CM-1"/>
    <hyperlink ref="K3" location="'CM-3 Operational Management'!C3" tooltip="CM-3" display="CM-3"/>
    <hyperlink ref="K4" location="'CM BPC'!B3" tooltip="BPC" display="BPC"/>
  </hyperlinks>
  <pageMargins left="0.7" right="0.7" top="0.75" bottom="0.75" header="0.3" footer="0.3"/>
  <pageSetup orientation="portrait" verticalDpi="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84806"/>
  </sheetPr>
  <dimension ref="A1:N78"/>
  <sheetViews>
    <sheetView showGridLines="0" showRowColHeaders="0" workbookViewId="0">
      <pane ySplit="8" topLeftCell="A18" activePane="bottomLeft" state="frozen"/>
      <selection activeCell="B19" sqref="B19:E19"/>
      <selection pane="bottomLeft" activeCell="B22" sqref="B22:F22"/>
    </sheetView>
  </sheetViews>
  <sheetFormatPr defaultColWidth="0" defaultRowHeight="15" customHeight="1" zeroHeight="1" x14ac:dyDescent="0.25"/>
  <cols>
    <col min="1" max="1" width="5.7109375" style="42" customWidth="1"/>
    <col min="2" max="2" width="18.42578125" style="42" customWidth="1"/>
    <col min="3" max="3" width="17" style="42" customWidth="1"/>
    <col min="4" max="5" width="18.42578125" style="42" customWidth="1"/>
    <col min="6" max="8" width="18.7109375" style="42" customWidth="1"/>
    <col min="9" max="10" width="10.7109375" style="42" customWidth="1"/>
    <col min="11" max="11" width="8.7109375" style="42" customWidth="1"/>
    <col min="12" max="16384" width="9.140625" style="42" hidden="1"/>
  </cols>
  <sheetData>
    <row r="1" spans="1:14" ht="25.5" customHeight="1" x14ac:dyDescent="0.25">
      <c r="A1" s="2081" t="s">
        <v>140</v>
      </c>
      <c r="B1" s="2081"/>
      <c r="C1" s="2081"/>
      <c r="D1" s="2081"/>
      <c r="E1" s="2081"/>
      <c r="F1" s="2081"/>
      <c r="G1" s="2081"/>
      <c r="H1" s="2081"/>
      <c r="I1" s="2081"/>
      <c r="J1" s="2081"/>
      <c r="K1" s="2081"/>
    </row>
    <row r="2" spans="1:14" ht="15" customHeight="1" x14ac:dyDescent="0.25">
      <c r="A2" s="53"/>
      <c r="B2" s="54"/>
      <c r="C2" s="54"/>
      <c r="D2" s="54"/>
      <c r="E2" s="54"/>
      <c r="F2" s="53"/>
      <c r="G2" s="53"/>
      <c r="H2" s="312"/>
      <c r="I2" s="1426" t="s">
        <v>2110</v>
      </c>
      <c r="J2" s="1426"/>
      <c r="K2" s="832" t="s">
        <v>144</v>
      </c>
    </row>
    <row r="3" spans="1:14" ht="15" customHeight="1" x14ac:dyDescent="0.25">
      <c r="A3" s="53"/>
      <c r="B3" s="54"/>
      <c r="C3" s="54"/>
      <c r="D3" s="54"/>
      <c r="E3" s="54"/>
      <c r="F3" s="53"/>
      <c r="G3" s="53"/>
      <c r="H3" s="312"/>
      <c r="I3" s="1426"/>
      <c r="J3" s="1426"/>
      <c r="K3" s="832" t="s">
        <v>145</v>
      </c>
    </row>
    <row r="4" spans="1:14" ht="15" customHeight="1" x14ac:dyDescent="0.25">
      <c r="A4" s="53"/>
      <c r="B4" s="54"/>
      <c r="C4" s="54"/>
      <c r="D4" s="54"/>
      <c r="E4" s="54"/>
      <c r="F4" s="53"/>
      <c r="G4" s="53"/>
      <c r="H4" s="313"/>
      <c r="I4" s="1427"/>
      <c r="J4" s="1427"/>
      <c r="K4" s="832" t="s">
        <v>79</v>
      </c>
    </row>
    <row r="5" spans="1:14" ht="18" customHeight="1" x14ac:dyDescent="0.25">
      <c r="A5" s="1417" t="s">
        <v>2435</v>
      </c>
      <c r="B5" s="1418"/>
      <c r="C5" s="1418"/>
      <c r="D5" s="1418"/>
      <c r="E5" s="1418"/>
      <c r="F5" s="1418"/>
      <c r="G5" s="1418"/>
      <c r="H5" s="1418"/>
      <c r="I5" s="1418"/>
      <c r="J5" s="1418"/>
      <c r="K5" s="1418"/>
      <c r="L5" s="193"/>
      <c r="M5" s="193"/>
      <c r="N5" s="194"/>
    </row>
    <row r="6" spans="1:14" ht="18" customHeight="1" x14ac:dyDescent="0.25">
      <c r="A6" s="1420"/>
      <c r="B6" s="1421"/>
      <c r="C6" s="1421"/>
      <c r="D6" s="1421"/>
      <c r="E6" s="1421"/>
      <c r="F6" s="1421"/>
      <c r="G6" s="1421"/>
      <c r="H6" s="1421"/>
      <c r="I6" s="1421"/>
      <c r="J6" s="1421"/>
      <c r="K6" s="1421"/>
      <c r="L6" s="195"/>
      <c r="M6" s="195"/>
      <c r="N6" s="196"/>
    </row>
    <row r="7" spans="1:14" ht="18" customHeight="1" x14ac:dyDescent="0.25">
      <c r="A7" s="1423"/>
      <c r="B7" s="1424"/>
      <c r="C7" s="1424"/>
      <c r="D7" s="1424"/>
      <c r="E7" s="1424"/>
      <c r="F7" s="1424"/>
      <c r="G7" s="1424"/>
      <c r="H7" s="1424"/>
      <c r="I7" s="1424"/>
      <c r="J7" s="1424"/>
      <c r="K7" s="1424"/>
      <c r="L7" s="197"/>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2073" t="s">
        <v>191</v>
      </c>
      <c r="B9" s="2073"/>
      <c r="C9" s="2073"/>
      <c r="D9" s="2073"/>
      <c r="E9" s="2073"/>
      <c r="F9" s="2073"/>
      <c r="G9" s="2073"/>
      <c r="H9" s="2073"/>
      <c r="I9" s="2073"/>
      <c r="J9" s="2073"/>
      <c r="K9" s="2073"/>
    </row>
    <row r="10" spans="1:14" x14ac:dyDescent="0.25">
      <c r="A10" s="53"/>
      <c r="B10" s="54"/>
      <c r="C10" s="54"/>
      <c r="D10" s="54"/>
      <c r="E10" s="54"/>
      <c r="F10" s="53"/>
      <c r="G10" s="53"/>
      <c r="H10" s="53"/>
      <c r="I10" s="53"/>
      <c r="J10" s="53"/>
      <c r="K10" s="53"/>
    </row>
    <row r="11" spans="1:14" ht="21" customHeight="1" x14ac:dyDescent="0.25">
      <c r="A11" s="53"/>
      <c r="B11" s="2079" t="s">
        <v>192</v>
      </c>
      <c r="C11" s="2080"/>
      <c r="D11" s="2080"/>
      <c r="E11" s="2080"/>
      <c r="F11" s="627" t="s">
        <v>157</v>
      </c>
      <c r="G11" s="627" t="s">
        <v>56</v>
      </c>
      <c r="H11" s="63" t="s">
        <v>521</v>
      </c>
      <c r="I11" s="53"/>
      <c r="J11" s="53"/>
      <c r="K11" s="53"/>
    </row>
    <row r="12" spans="1:14" ht="21" customHeight="1" x14ac:dyDescent="0.25">
      <c r="A12" s="53"/>
      <c r="B12" s="1622" t="s">
        <v>105</v>
      </c>
      <c r="C12" s="1623"/>
      <c r="D12" s="1623"/>
      <c r="E12" s="1624"/>
      <c r="F12" s="59">
        <v>1</v>
      </c>
      <c r="G12" s="286">
        <f>C38</f>
        <v>0</v>
      </c>
      <c r="H12" s="286" t="str">
        <f>C39</f>
        <v>No</v>
      </c>
      <c r="I12" s="53"/>
      <c r="J12" s="53"/>
      <c r="K12" s="53"/>
    </row>
    <row r="13" spans="1:14" x14ac:dyDescent="0.25">
      <c r="A13" s="53"/>
      <c r="B13" s="54"/>
      <c r="C13" s="54"/>
      <c r="D13" s="54"/>
      <c r="E13" s="54"/>
      <c r="F13" s="53"/>
      <c r="G13" s="53"/>
      <c r="H13" s="53"/>
      <c r="I13" s="53"/>
      <c r="J13" s="53"/>
      <c r="K13" s="53"/>
    </row>
    <row r="14" spans="1:14" ht="18" customHeight="1" x14ac:dyDescent="0.25">
      <c r="A14" s="2073" t="s">
        <v>265</v>
      </c>
      <c r="B14" s="2073"/>
      <c r="C14" s="2073"/>
      <c r="D14" s="2073"/>
      <c r="E14" s="2073"/>
      <c r="F14" s="2073"/>
      <c r="G14" s="2073"/>
      <c r="H14" s="2073"/>
      <c r="I14" s="2073"/>
      <c r="J14" s="2073"/>
      <c r="K14" s="2073"/>
    </row>
    <row r="15" spans="1:14" x14ac:dyDescent="0.25">
      <c r="A15" s="53"/>
      <c r="B15" s="54"/>
      <c r="C15" s="54"/>
      <c r="D15" s="54"/>
      <c r="E15" s="54"/>
      <c r="F15" s="53"/>
      <c r="G15" s="53"/>
      <c r="H15" s="53"/>
      <c r="I15" s="53"/>
      <c r="J15" s="53"/>
      <c r="K15" s="53"/>
    </row>
    <row r="16" spans="1:14" ht="18" customHeight="1" x14ac:dyDescent="0.25">
      <c r="A16" s="53"/>
      <c r="B16" s="839" t="s">
        <v>591</v>
      </c>
      <c r="C16" s="638"/>
      <c r="D16" s="638"/>
      <c r="E16" s="638"/>
      <c r="F16" s="638"/>
      <c r="G16" s="638"/>
      <c r="H16" s="639"/>
      <c r="I16" s="53"/>
      <c r="J16" s="53"/>
      <c r="K16" s="53"/>
    </row>
    <row r="17" spans="1:13" ht="18" customHeight="1" x14ac:dyDescent="0.25">
      <c r="A17" s="53"/>
      <c r="B17" s="840" t="s">
        <v>592</v>
      </c>
      <c r="C17" s="643"/>
      <c r="D17" s="643"/>
      <c r="E17" s="643"/>
      <c r="F17" s="643"/>
      <c r="G17" s="643"/>
      <c r="H17" s="644"/>
      <c r="I17" s="53"/>
      <c r="J17" s="53"/>
      <c r="K17" s="53"/>
    </row>
    <row r="18" spans="1:13" x14ac:dyDescent="0.25">
      <c r="A18" s="53"/>
      <c r="B18" s="54"/>
      <c r="C18" s="54"/>
      <c r="D18" s="54"/>
      <c r="E18" s="54"/>
      <c r="F18" s="53"/>
      <c r="G18" s="53"/>
      <c r="H18" s="53"/>
      <c r="I18" s="53"/>
      <c r="J18" s="53"/>
      <c r="K18" s="53"/>
    </row>
    <row r="19" spans="1:13" x14ac:dyDescent="0.25">
      <c r="A19" s="53"/>
      <c r="B19" s="717" t="s">
        <v>1538</v>
      </c>
      <c r="C19" s="54"/>
      <c r="D19" s="54"/>
      <c r="E19" s="54"/>
      <c r="F19" s="53"/>
      <c r="G19" s="53"/>
      <c r="H19" s="53"/>
      <c r="I19" s="53"/>
      <c r="J19" s="53"/>
      <c r="K19" s="53"/>
    </row>
    <row r="20" spans="1:13" ht="10.5" customHeight="1" x14ac:dyDescent="0.25">
      <c r="A20" s="53"/>
      <c r="B20" s="54"/>
      <c r="C20" s="54"/>
      <c r="D20" s="54"/>
      <c r="E20" s="54"/>
      <c r="F20" s="53"/>
      <c r="G20" s="53"/>
      <c r="H20" s="53"/>
      <c r="I20" s="53"/>
      <c r="J20" s="53"/>
      <c r="K20" s="53"/>
    </row>
    <row r="21" spans="1:13" ht="18" customHeight="1" x14ac:dyDescent="0.25">
      <c r="A21" s="53"/>
      <c r="B21" s="1523" t="str">
        <f>IF('Project information'!C7="Certification stage","• Has a Building Operation &amp; Maintenance Manual been provided?","• Will a Building Operation &amp; Maintenance Manual be provided?")</f>
        <v>• Will a Building Operation &amp; Maintenance Manual be provided?</v>
      </c>
      <c r="C21" s="1523"/>
      <c r="D21" s="1523"/>
      <c r="E21" s="1523"/>
      <c r="F21" s="280" t="s">
        <v>129</v>
      </c>
      <c r="G21" s="53"/>
      <c r="H21" s="53"/>
      <c r="I21" s="53"/>
      <c r="J21" s="53"/>
      <c r="K21" s="53"/>
      <c r="L21" s="64" t="b">
        <v>0</v>
      </c>
      <c r="M21" s="64"/>
    </row>
    <row r="22" spans="1:13" ht="16.5" customHeight="1" x14ac:dyDescent="0.25">
      <c r="A22" s="53"/>
      <c r="B22" s="2116" t="s">
        <v>1539</v>
      </c>
      <c r="C22" s="2117"/>
      <c r="D22" s="2117"/>
      <c r="E22" s="2117"/>
      <c r="F22" s="2117"/>
      <c r="G22" s="821"/>
      <c r="H22" s="53"/>
      <c r="I22" s="53"/>
      <c r="J22" s="53"/>
      <c r="K22" s="53"/>
      <c r="L22" s="64"/>
      <c r="M22" s="64"/>
    </row>
    <row r="23" spans="1:13" ht="18" customHeight="1" x14ac:dyDescent="0.25">
      <c r="A23" s="53"/>
      <c r="B23" s="1523" t="s">
        <v>1533</v>
      </c>
      <c r="C23" s="1523"/>
      <c r="D23" s="1523"/>
      <c r="E23" s="1523"/>
      <c r="F23" s="1043" t="s">
        <v>129</v>
      </c>
      <c r="G23" s="53"/>
      <c r="H23" s="53"/>
      <c r="I23" s="53"/>
      <c r="J23" s="53"/>
      <c r="K23" s="53"/>
      <c r="L23" s="64" t="b">
        <v>0</v>
      </c>
      <c r="M23" s="64" t="b">
        <v>0</v>
      </c>
    </row>
    <row r="24" spans="1:13" ht="28.5" customHeight="1" x14ac:dyDescent="0.25">
      <c r="A24" s="53"/>
      <c r="B24" s="1523" t="s">
        <v>1534</v>
      </c>
      <c r="C24" s="1523"/>
      <c r="D24" s="1523"/>
      <c r="E24" s="1523"/>
      <c r="F24" s="1043" t="s">
        <v>129</v>
      </c>
      <c r="G24" s="53"/>
      <c r="H24" s="53"/>
      <c r="I24" s="53"/>
      <c r="J24" s="53"/>
      <c r="K24" s="53"/>
      <c r="L24" s="64" t="b">
        <v>0</v>
      </c>
      <c r="M24" s="64"/>
    </row>
    <row r="25" spans="1:13" ht="18" customHeight="1" x14ac:dyDescent="0.25">
      <c r="A25" s="53"/>
      <c r="B25" s="1523" t="s">
        <v>1535</v>
      </c>
      <c r="C25" s="1523"/>
      <c r="D25" s="1523"/>
      <c r="E25" s="1523"/>
      <c r="F25" s="1043" t="s">
        <v>129</v>
      </c>
      <c r="G25" s="53"/>
      <c r="H25" s="53"/>
      <c r="I25" s="53"/>
      <c r="J25" s="53"/>
      <c r="K25" s="53"/>
      <c r="L25" s="64" t="b">
        <v>0</v>
      </c>
      <c r="M25" s="64" t="b">
        <v>0</v>
      </c>
    </row>
    <row r="26" spans="1:13" ht="18" customHeight="1" x14ac:dyDescent="0.25">
      <c r="A26" s="53"/>
      <c r="B26" s="1523" t="s">
        <v>1536</v>
      </c>
      <c r="C26" s="1523"/>
      <c r="D26" s="1523"/>
      <c r="E26" s="1523"/>
      <c r="F26" s="1043" t="s">
        <v>129</v>
      </c>
      <c r="G26" s="53"/>
      <c r="H26" s="53"/>
      <c r="I26" s="53"/>
      <c r="J26" s="53"/>
      <c r="K26" s="53"/>
      <c r="L26" s="64" t="b">
        <v>0</v>
      </c>
      <c r="M26" s="64" t="b">
        <v>0</v>
      </c>
    </row>
    <row r="27" spans="1:13" ht="18" customHeight="1" x14ac:dyDescent="0.25">
      <c r="A27" s="53"/>
      <c r="B27" s="1523" t="s">
        <v>1537</v>
      </c>
      <c r="C27" s="1523"/>
      <c r="D27" s="1523"/>
      <c r="E27" s="1523"/>
      <c r="F27" s="1043" t="s">
        <v>129</v>
      </c>
      <c r="G27" s="53"/>
      <c r="H27" s="53"/>
      <c r="I27" s="53"/>
      <c r="J27" s="53"/>
      <c r="K27" s="53"/>
      <c r="L27" s="64" t="b">
        <v>0</v>
      </c>
      <c r="M27" s="64" t="b">
        <v>0</v>
      </c>
    </row>
    <row r="28" spans="1:13" ht="17.25" customHeight="1" x14ac:dyDescent="0.25">
      <c r="A28" s="53"/>
      <c r="B28" s="54"/>
      <c r="C28" s="54"/>
      <c r="D28" s="54"/>
      <c r="E28" s="54"/>
      <c r="F28" s="53"/>
      <c r="G28" s="53"/>
      <c r="H28" s="53"/>
      <c r="I28" s="53"/>
      <c r="J28" s="53"/>
      <c r="K28" s="53"/>
    </row>
    <row r="29" spans="1:13" ht="18" customHeight="1" x14ac:dyDescent="0.25">
      <c r="A29" s="53"/>
      <c r="B29" s="2082" t="s">
        <v>593</v>
      </c>
      <c r="C29" s="2082"/>
      <c r="D29" s="2082"/>
      <c r="E29" s="285" t="str">
        <f>IF(COUNTIF(F21:F27,"Yes")=6,"Yes",IF(AND(F26="Yes",COUNTIF(F21:F27,"Yes")=5),"Yes","No"))</f>
        <v>No</v>
      </c>
      <c r="F29" s="53"/>
      <c r="G29" s="53"/>
      <c r="H29" s="53"/>
      <c r="I29" s="53"/>
      <c r="J29" s="53"/>
      <c r="K29" s="53"/>
    </row>
    <row r="30" spans="1:13" ht="19.5" customHeight="1" x14ac:dyDescent="0.25">
      <c r="A30" s="53"/>
      <c r="B30" s="54"/>
      <c r="C30" s="54"/>
      <c r="D30" s="54"/>
      <c r="E30" s="53"/>
      <c r="F30" s="53"/>
      <c r="G30" s="53"/>
      <c r="H30" s="53"/>
      <c r="I30" s="53"/>
      <c r="J30" s="53"/>
      <c r="K30" s="53"/>
    </row>
    <row r="31" spans="1:13" ht="18" customHeight="1" x14ac:dyDescent="0.25">
      <c r="A31" s="2073" t="s">
        <v>200</v>
      </c>
      <c r="B31" s="2073"/>
      <c r="C31" s="2073"/>
      <c r="D31" s="2073"/>
      <c r="E31" s="2073"/>
      <c r="F31" s="2073"/>
      <c r="G31" s="2073"/>
      <c r="H31" s="2073"/>
      <c r="I31" s="2073"/>
      <c r="J31" s="2073"/>
      <c r="K31" s="2073"/>
    </row>
    <row r="32" spans="1:13" x14ac:dyDescent="0.25">
      <c r="A32" s="53"/>
      <c r="B32" s="54"/>
      <c r="C32" s="54"/>
      <c r="D32" s="54"/>
      <c r="E32" s="53"/>
      <c r="F32" s="53"/>
      <c r="G32" s="53"/>
      <c r="H32" s="53"/>
      <c r="I32" s="53"/>
      <c r="J32" s="53"/>
      <c r="K32" s="53"/>
    </row>
    <row r="33" spans="1:11" ht="18" customHeight="1" x14ac:dyDescent="0.25">
      <c r="A33" s="53"/>
      <c r="B33" s="2071" t="s">
        <v>2103</v>
      </c>
      <c r="C33" s="2072"/>
      <c r="D33" s="2072"/>
      <c r="E33" s="2072"/>
      <c r="F33" s="2072"/>
      <c r="G33" s="1085" t="s">
        <v>2101</v>
      </c>
      <c r="H33" s="2075" t="s">
        <v>2102</v>
      </c>
      <c r="I33" s="2076"/>
      <c r="J33" s="53"/>
      <c r="K33" s="53"/>
    </row>
    <row r="34" spans="1:11" ht="24" customHeight="1" x14ac:dyDescent="0.25">
      <c r="A34" s="53"/>
      <c r="B34" s="2041" t="s">
        <v>1409</v>
      </c>
      <c r="C34" s="2042"/>
      <c r="D34" s="2042"/>
      <c r="E34" s="2042"/>
      <c r="F34" s="2043"/>
      <c r="G34" s="518" t="s">
        <v>129</v>
      </c>
      <c r="H34" s="1730"/>
      <c r="I34" s="1729"/>
      <c r="J34" s="53"/>
      <c r="K34" s="53"/>
    </row>
    <row r="35" spans="1:11" ht="19.5" customHeight="1" x14ac:dyDescent="0.25">
      <c r="A35" s="53"/>
      <c r="B35" s="54"/>
      <c r="C35" s="54"/>
      <c r="D35" s="54"/>
      <c r="E35" s="53"/>
      <c r="F35" s="53"/>
      <c r="G35" s="53"/>
      <c r="H35" s="53"/>
      <c r="I35" s="53"/>
      <c r="J35" s="53"/>
      <c r="K35" s="53"/>
    </row>
    <row r="36" spans="1:11" ht="18" customHeight="1" x14ac:dyDescent="0.25">
      <c r="A36" s="2073" t="s">
        <v>25</v>
      </c>
      <c r="B36" s="2073"/>
      <c r="C36" s="2073"/>
      <c r="D36" s="2073"/>
      <c r="E36" s="2073"/>
      <c r="F36" s="2073"/>
      <c r="G36" s="2073"/>
      <c r="H36" s="2073"/>
      <c r="I36" s="2073"/>
      <c r="J36" s="2073"/>
      <c r="K36" s="2073"/>
    </row>
    <row r="37" spans="1:11" x14ac:dyDescent="0.25">
      <c r="A37" s="53"/>
      <c r="B37" s="54"/>
      <c r="C37" s="54"/>
      <c r="D37" s="54"/>
      <c r="E37" s="54"/>
      <c r="F37" s="53"/>
      <c r="G37" s="53"/>
      <c r="H37" s="53"/>
      <c r="I37" s="53"/>
      <c r="J37" s="53"/>
      <c r="K37" s="53"/>
    </row>
    <row r="38" spans="1:11" ht="18" customHeight="1" x14ac:dyDescent="0.25">
      <c r="A38" s="53"/>
      <c r="B38" s="284" t="s">
        <v>56</v>
      </c>
      <c r="C38" s="12">
        <f>IF(E29="Yes",1,0)</f>
        <v>0</v>
      </c>
      <c r="D38" s="54"/>
      <c r="E38" s="53"/>
      <c r="F38" s="53"/>
      <c r="G38" s="53"/>
      <c r="H38" s="53"/>
      <c r="I38" s="53"/>
      <c r="J38" s="53"/>
      <c r="K38" s="53"/>
    </row>
    <row r="39" spans="1:11" ht="18" customHeight="1" x14ac:dyDescent="0.25">
      <c r="A39" s="53"/>
      <c r="B39" s="284" t="s">
        <v>521</v>
      </c>
      <c r="C39" s="203" t="str">
        <f>IF(AND(G34="Submitted",C38&gt;0),"Yes","No")</f>
        <v>No</v>
      </c>
      <c r="D39" s="54"/>
      <c r="E39" s="54"/>
      <c r="F39" s="53"/>
      <c r="G39" s="53"/>
      <c r="H39" s="53"/>
      <c r="I39" s="53"/>
      <c r="J39" s="53"/>
      <c r="K39" s="53"/>
    </row>
    <row r="40" spans="1:11" ht="21" customHeight="1" x14ac:dyDescent="0.25">
      <c r="A40" s="53"/>
      <c r="B40" s="54"/>
      <c r="C40" s="54"/>
      <c r="D40" s="54"/>
      <c r="E40" s="54"/>
      <c r="F40" s="53"/>
      <c r="G40" s="53"/>
      <c r="H40" s="53"/>
      <c r="I40" s="53"/>
      <c r="J40" s="53"/>
      <c r="K40" s="53"/>
    </row>
    <row r="41" spans="1:11" hidden="1" x14ac:dyDescent="0.25">
      <c r="J41" s="53"/>
      <c r="K41" s="53"/>
    </row>
    <row r="42" spans="1:11" hidden="1" x14ac:dyDescent="0.25">
      <c r="J42" s="53"/>
      <c r="K42" s="53"/>
    </row>
    <row r="43" spans="1:11" hidden="1" x14ac:dyDescent="0.25">
      <c r="J43" s="53"/>
      <c r="K43" s="53"/>
    </row>
    <row r="44" spans="1:11" ht="15" hidden="1" customHeight="1" x14ac:dyDescent="0.25"/>
    <row r="45" spans="1:11" ht="15" hidden="1" customHeight="1" x14ac:dyDescent="0.25"/>
    <row r="46" spans="1:11" ht="15" hidden="1" customHeight="1" x14ac:dyDescent="0.25"/>
    <row r="47" spans="1:11" ht="15" hidden="1" customHeight="1" x14ac:dyDescent="0.25"/>
    <row r="48" spans="1:11"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sheetData>
  <sheetProtection algorithmName="SHA-512" hashValue="YVIJ2IMO/nqyFYOh6DZVWf0duW4ECrcXrDLtEy1Y+boAboEd08mxEng4O9rc8cOHT9pezr44kejYQ4NoGzpdug==" saltValue="pVObXWAAHkhmhbeoQ8SOdA==" spinCount="100000" sheet="1" objects="1" scenarios="1"/>
  <dataConsolidate/>
  <mergeCells count="21">
    <mergeCell ref="A31:K31"/>
    <mergeCell ref="A36:K36"/>
    <mergeCell ref="B34:F34"/>
    <mergeCell ref="B11:E11"/>
    <mergeCell ref="B12:E12"/>
    <mergeCell ref="B21:E21"/>
    <mergeCell ref="B23:E23"/>
    <mergeCell ref="B24:E24"/>
    <mergeCell ref="B25:E25"/>
    <mergeCell ref="B26:E26"/>
    <mergeCell ref="B27:E27"/>
    <mergeCell ref="B29:D29"/>
    <mergeCell ref="B33:F33"/>
    <mergeCell ref="H33:I33"/>
    <mergeCell ref="H34:I34"/>
    <mergeCell ref="A5:K7"/>
    <mergeCell ref="B22:F22"/>
    <mergeCell ref="A1:K1"/>
    <mergeCell ref="A9:K9"/>
    <mergeCell ref="A14:K14"/>
    <mergeCell ref="I2:J4"/>
  </mergeCells>
  <conditionalFormatting sqref="G34">
    <cfRule type="expression" dxfId="16" priority="3">
      <formula>#REF!&lt;&gt;"Prescriptive Path"</formula>
    </cfRule>
  </conditionalFormatting>
  <conditionalFormatting sqref="H33:I33">
    <cfRule type="expression" dxfId="15" priority="2">
      <formula>#REF!&lt;&gt;"Prescriptive Path"</formula>
    </cfRule>
  </conditionalFormatting>
  <conditionalFormatting sqref="H34">
    <cfRule type="expression" dxfId="14" priority="1">
      <formula>#REF!&lt;&gt;"Prescriptive Path"</formula>
    </cfRule>
  </conditionalFormatting>
  <dataValidations count="2">
    <dataValidation type="list" allowBlank="1" showInputMessage="1" showErrorMessage="1" sqref="G34">
      <formula1>"Submitted,Not submitted"</formula1>
    </dataValidation>
    <dataValidation type="list" allowBlank="1" showInputMessage="1" showErrorMessage="1" sqref="F21 F23:F27">
      <formula1>"Select,Yes,No"</formula1>
    </dataValidation>
  </dataValidations>
  <hyperlinks>
    <hyperlink ref="K4" location="'CM BPC'!B3" tooltip="BPC" display="BPC"/>
    <hyperlink ref="K3" location="'CM-2 Construction Management'!B3" tooltip="CM-2" display="CM-2"/>
    <hyperlink ref="K2" location="'CM-1 Design Stage'!C3" tooltip="CM-1" display="CM-1"/>
  </hyperlinks>
  <pageMargins left="0.7" right="0.7" top="0.75" bottom="0.75" header="0.3" footer="0.3"/>
  <pageSetup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984806"/>
  </sheetPr>
  <dimension ref="A1:N131"/>
  <sheetViews>
    <sheetView showRowColHeaders="0" workbookViewId="0">
      <pane ySplit="7" topLeftCell="A16" activePane="bottomLeft" state="frozen"/>
      <selection pane="bottomLeft" activeCell="A16" sqref="A16:K42"/>
    </sheetView>
  </sheetViews>
  <sheetFormatPr defaultColWidth="0" defaultRowHeight="15" customHeight="1" zeroHeight="1" x14ac:dyDescent="0.25"/>
  <cols>
    <col min="1" max="1" width="5.7109375" style="42" customWidth="1"/>
    <col min="2" max="2" width="18.42578125" style="42" customWidth="1"/>
    <col min="3" max="3" width="17" style="42" customWidth="1"/>
    <col min="4" max="6" width="18.42578125" style="42" customWidth="1"/>
    <col min="7" max="7" width="18.28515625" style="42" customWidth="1"/>
    <col min="8" max="8" width="21.7109375" style="42" customWidth="1"/>
    <col min="9" max="9" width="16.7109375" style="42" customWidth="1"/>
    <col min="10" max="10" width="11.85546875" style="42" customWidth="1"/>
    <col min="11" max="11" width="9.140625" style="42" customWidth="1"/>
    <col min="12" max="16384" width="9.140625" style="42" hidden="1"/>
  </cols>
  <sheetData>
    <row r="1" spans="1:14" ht="25.5" customHeight="1" x14ac:dyDescent="0.25">
      <c r="A1" s="283" t="s">
        <v>670</v>
      </c>
      <c r="B1" s="282"/>
      <c r="C1" s="282"/>
      <c r="D1" s="282"/>
      <c r="E1" s="282"/>
      <c r="F1" s="282"/>
      <c r="G1" s="62"/>
      <c r="H1" s="62"/>
      <c r="I1" s="62"/>
      <c r="J1" s="62"/>
      <c r="K1" s="62"/>
    </row>
    <row r="2" spans="1:14" ht="15" customHeight="1" x14ac:dyDescent="0.25">
      <c r="A2" s="53"/>
      <c r="B2" s="54"/>
      <c r="C2" s="54"/>
      <c r="D2" s="54"/>
      <c r="E2" s="54"/>
      <c r="F2" s="53"/>
      <c r="G2" s="53"/>
      <c r="H2" s="53"/>
      <c r="I2" s="1426" t="s">
        <v>2110</v>
      </c>
      <c r="J2" s="1426"/>
      <c r="K2" s="832" t="s">
        <v>144</v>
      </c>
    </row>
    <row r="3" spans="1:14" ht="15" customHeight="1" x14ac:dyDescent="0.25">
      <c r="A3" s="53"/>
      <c r="B3" s="54"/>
      <c r="C3" s="54"/>
      <c r="D3" s="54"/>
      <c r="E3" s="54"/>
      <c r="F3" s="53"/>
      <c r="G3" s="53"/>
      <c r="H3" s="53"/>
      <c r="I3" s="1426"/>
      <c r="J3" s="1426"/>
      <c r="K3" s="832" t="s">
        <v>145</v>
      </c>
    </row>
    <row r="4" spans="1:14" ht="15" customHeight="1" x14ac:dyDescent="0.25">
      <c r="A4" s="53"/>
      <c r="B4" s="54"/>
      <c r="C4" s="54"/>
      <c r="D4" s="54"/>
      <c r="E4" s="54"/>
      <c r="F4" s="53"/>
      <c r="G4" s="53"/>
      <c r="H4" s="53"/>
      <c r="I4" s="1427"/>
      <c r="J4" s="1427"/>
      <c r="K4" s="832" t="s">
        <v>146</v>
      </c>
    </row>
    <row r="5" spans="1:14" ht="18" customHeight="1" x14ac:dyDescent="0.25">
      <c r="A5" s="1976" t="s">
        <v>2250</v>
      </c>
      <c r="B5" s="1977"/>
      <c r="C5" s="1977"/>
      <c r="D5" s="1977"/>
      <c r="E5" s="1977"/>
      <c r="F5" s="1977"/>
      <c r="G5" s="1977"/>
      <c r="H5" s="1977"/>
      <c r="I5" s="1977"/>
      <c r="J5" s="1977"/>
      <c r="K5" s="1978"/>
    </row>
    <row r="6" spans="1:14" ht="18" customHeight="1" x14ac:dyDescent="0.25">
      <c r="A6" s="1981"/>
      <c r="B6" s="1982"/>
      <c r="C6" s="1982"/>
      <c r="D6" s="1982"/>
      <c r="E6" s="1982"/>
      <c r="F6" s="1982"/>
      <c r="G6" s="1982"/>
      <c r="H6" s="1982"/>
      <c r="I6" s="1982"/>
      <c r="J6" s="1982"/>
      <c r="K6" s="1983"/>
      <c r="L6" s="53"/>
      <c r="M6" s="53"/>
      <c r="N6" s="53"/>
    </row>
    <row r="7" spans="1:14" ht="9.75" customHeight="1" x14ac:dyDescent="0.25">
      <c r="A7" s="880"/>
      <c r="B7" s="880"/>
      <c r="C7" s="880"/>
      <c r="D7" s="880"/>
      <c r="E7" s="880"/>
      <c r="F7" s="880"/>
      <c r="G7" s="880"/>
      <c r="H7" s="880"/>
      <c r="I7" s="880"/>
      <c r="J7" s="880"/>
      <c r="K7" s="880"/>
      <c r="L7" s="53"/>
      <c r="M7" s="53"/>
      <c r="N7" s="53"/>
    </row>
    <row r="8" spans="1:14" ht="18" customHeight="1" x14ac:dyDescent="0.25">
      <c r="A8" s="2073" t="s">
        <v>626</v>
      </c>
      <c r="B8" s="2073"/>
      <c r="C8" s="2073"/>
      <c r="D8" s="2073"/>
      <c r="E8" s="2073"/>
      <c r="F8" s="2073"/>
      <c r="G8" s="2073"/>
      <c r="H8" s="2073"/>
      <c r="I8" s="2073"/>
      <c r="J8" s="2073"/>
      <c r="K8" s="2073"/>
    </row>
    <row r="9" spans="1:14" x14ac:dyDescent="0.25">
      <c r="A9" s="53"/>
      <c r="B9" s="54"/>
      <c r="C9" s="54"/>
      <c r="D9" s="54"/>
      <c r="E9" s="54"/>
      <c r="F9" s="53"/>
      <c r="G9" s="53"/>
      <c r="H9" s="53"/>
      <c r="I9" s="53"/>
      <c r="J9" s="53"/>
      <c r="K9" s="53"/>
    </row>
    <row r="10" spans="1:14" ht="21" customHeight="1" x14ac:dyDescent="0.25">
      <c r="A10" s="53"/>
      <c r="B10" s="2079" t="s">
        <v>192</v>
      </c>
      <c r="C10" s="2080"/>
      <c r="D10" s="2080"/>
      <c r="E10" s="2080"/>
      <c r="F10" s="627" t="s">
        <v>157</v>
      </c>
      <c r="G10" s="627" t="s">
        <v>56</v>
      </c>
      <c r="H10" s="63" t="s">
        <v>521</v>
      </c>
      <c r="I10" s="53"/>
      <c r="J10" s="53"/>
      <c r="K10" s="53"/>
    </row>
    <row r="11" spans="1:14" ht="27" customHeight="1" x14ac:dyDescent="0.25">
      <c r="A11" s="53"/>
      <c r="B11" s="1622" t="s">
        <v>671</v>
      </c>
      <c r="C11" s="1623"/>
      <c r="D11" s="1623"/>
      <c r="E11" s="1624"/>
      <c r="F11" s="324">
        <v>1</v>
      </c>
      <c r="G11" s="324">
        <f>C40</f>
        <v>0</v>
      </c>
      <c r="H11" s="324" t="str">
        <f>C41</f>
        <v>No</v>
      </c>
      <c r="I11" s="53"/>
      <c r="J11" s="53"/>
      <c r="K11" s="53"/>
      <c r="M11" s="42" t="str">
        <f t="shared" ref="M11:M13" si="0">IF(G11&lt;&gt;0,IF(H11="No","No","Yes"),"Yes")</f>
        <v>Yes</v>
      </c>
    </row>
    <row r="12" spans="1:14" ht="36.75" customHeight="1" x14ac:dyDescent="0.25">
      <c r="A12" s="53"/>
      <c r="B12" s="1622" t="s">
        <v>986</v>
      </c>
      <c r="C12" s="1623"/>
      <c r="D12" s="1623"/>
      <c r="E12" s="1624"/>
      <c r="F12" s="517">
        <v>1</v>
      </c>
      <c r="G12" s="517">
        <f>C61</f>
        <v>0</v>
      </c>
      <c r="H12" s="517" t="str">
        <f>C62</f>
        <v>No</v>
      </c>
      <c r="I12" s="53"/>
      <c r="J12" s="53"/>
      <c r="K12" s="53"/>
      <c r="M12" s="42" t="str">
        <f t="shared" si="0"/>
        <v>Yes</v>
      </c>
    </row>
    <row r="13" spans="1:14" ht="30.75" customHeight="1" x14ac:dyDescent="0.25">
      <c r="A13" s="53"/>
      <c r="B13" s="1622" t="s">
        <v>987</v>
      </c>
      <c r="C13" s="1623"/>
      <c r="D13" s="1623"/>
      <c r="E13" s="1624"/>
      <c r="F13" s="517">
        <v>1</v>
      </c>
      <c r="G13" s="517">
        <f>C93</f>
        <v>0</v>
      </c>
      <c r="H13" s="517" t="str">
        <f>C94</f>
        <v>No</v>
      </c>
      <c r="I13" s="53"/>
      <c r="J13" s="53"/>
      <c r="K13" s="53"/>
      <c r="M13" s="42" t="str">
        <f t="shared" si="0"/>
        <v>Yes</v>
      </c>
    </row>
    <row r="14" spans="1:14" ht="21" customHeight="1" x14ac:dyDescent="0.25">
      <c r="A14" s="53"/>
      <c r="B14" s="1433" t="s">
        <v>82</v>
      </c>
      <c r="C14" s="1775"/>
      <c r="D14" s="1775"/>
      <c r="E14" s="1775"/>
      <c r="F14" s="702">
        <v>3</v>
      </c>
      <c r="G14" s="702">
        <f>MIN(3,SUM(G11:G13))</f>
        <v>0</v>
      </c>
      <c r="H14" s="702" t="str">
        <f>IF(COUNTIF(H11:H13,"No")=3,"No",IF(COUNTIF(M11:M13,"Yes")=3,"Yes","No"))</f>
        <v>No</v>
      </c>
      <c r="I14" s="53"/>
      <c r="J14" s="53"/>
      <c r="K14" s="53"/>
    </row>
    <row r="15" spans="1:14" ht="15" customHeight="1" x14ac:dyDescent="0.25">
      <c r="A15" s="53"/>
      <c r="B15" s="53"/>
      <c r="C15" s="53"/>
      <c r="D15" s="53"/>
      <c r="E15" s="53"/>
      <c r="F15" s="53"/>
      <c r="G15" s="53"/>
      <c r="H15" s="53"/>
      <c r="I15" s="53"/>
      <c r="J15" s="53"/>
      <c r="K15" s="53"/>
    </row>
    <row r="16" spans="1:14" ht="18" customHeight="1" x14ac:dyDescent="0.25">
      <c r="A16" s="2073" t="s">
        <v>672</v>
      </c>
      <c r="B16" s="2073"/>
      <c r="C16" s="2073"/>
      <c r="D16" s="2073"/>
      <c r="E16" s="2073"/>
      <c r="F16" s="2073"/>
      <c r="G16" s="2073"/>
      <c r="H16" s="2073"/>
      <c r="I16" s="2073"/>
      <c r="J16" s="2073"/>
      <c r="K16" s="2073"/>
    </row>
    <row r="17" spans="1:13" ht="12" customHeight="1" x14ac:dyDescent="0.25">
      <c r="A17" s="53"/>
      <c r="B17" s="54"/>
      <c r="C17" s="54"/>
      <c r="D17" s="54"/>
      <c r="E17" s="54"/>
      <c r="F17" s="53"/>
      <c r="G17" s="53"/>
      <c r="H17" s="53"/>
      <c r="I17" s="53"/>
      <c r="J17" s="53"/>
      <c r="K17" s="53"/>
    </row>
    <row r="18" spans="1:13" ht="16.5" customHeight="1" x14ac:dyDescent="0.25">
      <c r="A18" s="2083" t="s">
        <v>265</v>
      </c>
      <c r="B18" s="2083"/>
      <c r="C18" s="2083"/>
      <c r="D18" s="54"/>
      <c r="E18" s="54"/>
      <c r="F18" s="53"/>
      <c r="G18" s="53"/>
      <c r="H18" s="53"/>
      <c r="I18" s="53"/>
      <c r="J18" s="53"/>
      <c r="K18" s="53"/>
    </row>
    <row r="19" spans="1:13" x14ac:dyDescent="0.25">
      <c r="A19" s="53"/>
      <c r="B19" s="54"/>
      <c r="C19" s="54"/>
      <c r="D19" s="54"/>
      <c r="E19" s="54"/>
      <c r="F19" s="53"/>
      <c r="G19" s="53"/>
      <c r="H19" s="53"/>
      <c r="I19" s="53"/>
      <c r="J19" s="53"/>
      <c r="K19" s="53"/>
    </row>
    <row r="20" spans="1:13" x14ac:dyDescent="0.25">
      <c r="A20" s="53"/>
      <c r="B20" s="649" t="s">
        <v>675</v>
      </c>
      <c r="C20" s="54"/>
      <c r="D20" s="54"/>
      <c r="E20" s="54"/>
      <c r="F20" s="53"/>
      <c r="G20" s="53"/>
      <c r="H20" s="53"/>
      <c r="I20" s="53"/>
      <c r="J20" s="53"/>
      <c r="K20" s="53"/>
    </row>
    <row r="21" spans="1:13" ht="21.75" customHeight="1" x14ac:dyDescent="0.25">
      <c r="A21" s="53"/>
      <c r="B21" s="54"/>
      <c r="C21" s="54"/>
      <c r="D21" s="54"/>
      <c r="E21" s="54"/>
      <c r="F21" s="53"/>
      <c r="G21" s="53"/>
      <c r="H21" s="53"/>
      <c r="I21" s="53"/>
      <c r="J21" s="53"/>
      <c r="K21" s="53"/>
    </row>
    <row r="22" spans="1:13" x14ac:dyDescent="0.25">
      <c r="A22" s="53"/>
      <c r="B22" s="717" t="s">
        <v>1672</v>
      </c>
      <c r="C22" s="54"/>
      <c r="D22" s="54"/>
      <c r="E22" s="54"/>
      <c r="F22" s="53"/>
      <c r="G22" s="53"/>
      <c r="H22" s="53"/>
      <c r="I22" s="53"/>
      <c r="J22" s="53"/>
      <c r="K22" s="53"/>
    </row>
    <row r="23" spans="1:13" ht="9" customHeight="1" x14ac:dyDescent="0.25">
      <c r="A23" s="53"/>
      <c r="B23" s="54"/>
      <c r="C23" s="54"/>
      <c r="D23" s="54"/>
      <c r="E23" s="54"/>
      <c r="F23" s="53"/>
      <c r="G23" s="53"/>
      <c r="H23" s="53"/>
      <c r="I23" s="53"/>
      <c r="J23" s="53"/>
      <c r="K23" s="53"/>
    </row>
    <row r="24" spans="1:13" ht="18" customHeight="1" x14ac:dyDescent="0.25">
      <c r="A24" s="53"/>
      <c r="B24" s="1524" t="s">
        <v>1406</v>
      </c>
      <c r="C24" s="1524"/>
      <c r="D24" s="1524"/>
      <c r="E24" s="1524"/>
      <c r="F24" s="1524"/>
      <c r="G24" s="1076" t="s">
        <v>129</v>
      </c>
      <c r="H24" s="53"/>
      <c r="I24" s="53"/>
      <c r="J24" s="53"/>
      <c r="K24" s="53"/>
      <c r="L24" s="87"/>
      <c r="M24" s="87"/>
    </row>
    <row r="25" spans="1:13" ht="18" customHeight="1" x14ac:dyDescent="0.25">
      <c r="A25" s="53"/>
      <c r="B25" s="1524" t="s">
        <v>1405</v>
      </c>
      <c r="C25" s="1524"/>
      <c r="D25" s="1524"/>
      <c r="E25" s="1524"/>
      <c r="F25" s="1524"/>
      <c r="G25" s="1076" t="s">
        <v>129</v>
      </c>
      <c r="H25" s="53"/>
      <c r="I25" s="53"/>
      <c r="J25" s="53"/>
      <c r="K25" s="53"/>
      <c r="L25" s="87"/>
      <c r="M25" s="87"/>
    </row>
    <row r="26" spans="1:13" ht="15" customHeight="1" x14ac:dyDescent="0.25">
      <c r="A26" s="53"/>
      <c r="B26" s="53"/>
      <c r="C26" s="53"/>
      <c r="D26" s="53"/>
      <c r="E26" s="53"/>
      <c r="F26" s="53"/>
      <c r="G26" s="53"/>
      <c r="H26" s="53"/>
      <c r="I26" s="53"/>
      <c r="J26" s="53"/>
      <c r="K26" s="53"/>
    </row>
    <row r="27" spans="1:13" ht="16.5" customHeight="1" x14ac:dyDescent="0.25">
      <c r="A27" s="53"/>
      <c r="B27" s="2099" t="s">
        <v>703</v>
      </c>
      <c r="C27" s="2118"/>
      <c r="D27" s="2122"/>
      <c r="E27" s="2123"/>
      <c r="F27" s="53"/>
      <c r="G27" s="53"/>
      <c r="H27" s="53"/>
      <c r="I27" s="53"/>
      <c r="J27" s="53"/>
      <c r="K27" s="53"/>
    </row>
    <row r="28" spans="1:13" ht="16.5" customHeight="1" x14ac:dyDescent="0.25">
      <c r="A28" s="53"/>
      <c r="B28" s="2099" t="s">
        <v>704</v>
      </c>
      <c r="C28" s="2118"/>
      <c r="D28" s="2122"/>
      <c r="E28" s="2123"/>
      <c r="F28" s="53"/>
      <c r="G28" s="53"/>
      <c r="H28" s="53"/>
      <c r="I28" s="53"/>
      <c r="J28" s="53"/>
      <c r="K28" s="53"/>
    </row>
    <row r="29" spans="1:13" ht="27" customHeight="1" x14ac:dyDescent="0.25">
      <c r="A29" s="53"/>
      <c r="B29" s="2099" t="s">
        <v>701</v>
      </c>
      <c r="C29" s="2118"/>
      <c r="D29" s="2119"/>
      <c r="E29" s="2120"/>
      <c r="F29" s="2120"/>
      <c r="G29" s="2120"/>
      <c r="H29" s="2121"/>
      <c r="I29" s="53"/>
      <c r="J29" s="53"/>
      <c r="K29" s="53"/>
    </row>
    <row r="30" spans="1:13" ht="16.5" customHeight="1" x14ac:dyDescent="0.25">
      <c r="A30" s="53"/>
      <c r="B30" s="54"/>
      <c r="C30" s="54"/>
      <c r="D30" s="54"/>
      <c r="E30" s="54"/>
      <c r="F30" s="53"/>
      <c r="G30" s="53"/>
      <c r="H30" s="53"/>
      <c r="I30" s="53"/>
      <c r="J30" s="53"/>
      <c r="K30" s="53"/>
    </row>
    <row r="31" spans="1:13" ht="18" customHeight="1" x14ac:dyDescent="0.25">
      <c r="A31" s="53"/>
      <c r="B31" s="2082" t="s">
        <v>702</v>
      </c>
      <c r="C31" s="2082"/>
      <c r="D31" s="2082"/>
      <c r="E31" s="285" t="str">
        <f>IF(AND(D29&lt;&gt;"",D27&lt;&gt;"",D28&lt;&gt;"",COUNTIF(G24:G25,"Yes")=2),"Yes","No")</f>
        <v>No</v>
      </c>
      <c r="F31" s="53"/>
      <c r="G31" s="53"/>
      <c r="H31" s="53"/>
      <c r="I31" s="53"/>
      <c r="J31" s="53"/>
      <c r="K31" s="53"/>
    </row>
    <row r="32" spans="1:13" ht="16.5" customHeight="1" x14ac:dyDescent="0.25">
      <c r="A32" s="53"/>
      <c r="B32" s="54"/>
      <c r="C32" s="54"/>
      <c r="D32" s="54"/>
      <c r="E32" s="53"/>
      <c r="F32" s="53"/>
      <c r="G32" s="53"/>
      <c r="H32" s="53"/>
      <c r="I32" s="53"/>
      <c r="J32" s="53"/>
      <c r="K32" s="53"/>
    </row>
    <row r="33" spans="1:11" ht="16.5" customHeight="1" x14ac:dyDescent="0.25">
      <c r="A33" s="2083" t="s">
        <v>200</v>
      </c>
      <c r="B33" s="2083"/>
      <c r="C33" s="2083"/>
      <c r="D33" s="53"/>
      <c r="E33" s="53"/>
      <c r="F33" s="53"/>
      <c r="G33" s="53"/>
      <c r="H33" s="53"/>
      <c r="I33" s="53"/>
      <c r="J33" s="53"/>
      <c r="K33" s="53"/>
    </row>
    <row r="34" spans="1:11" ht="12.75" customHeight="1" x14ac:dyDescent="0.25">
      <c r="A34" s="53"/>
      <c r="B34" s="54"/>
      <c r="C34" s="54"/>
      <c r="D34" s="54"/>
      <c r="E34" s="53"/>
      <c r="F34" s="53"/>
      <c r="G34" s="53"/>
      <c r="H34" s="53"/>
      <c r="I34" s="53"/>
      <c r="J34" s="53"/>
      <c r="K34" s="53"/>
    </row>
    <row r="35" spans="1:11" ht="18" customHeight="1" x14ac:dyDescent="0.25">
      <c r="A35" s="53"/>
      <c r="B35" s="2071" t="s">
        <v>2103</v>
      </c>
      <c r="C35" s="2072"/>
      <c r="D35" s="2072"/>
      <c r="E35" s="2072"/>
      <c r="F35" s="2072"/>
      <c r="G35" s="1085" t="s">
        <v>2101</v>
      </c>
      <c r="H35" s="2075" t="s">
        <v>2102</v>
      </c>
      <c r="I35" s="2076"/>
      <c r="J35" s="53"/>
      <c r="K35" s="53"/>
    </row>
    <row r="36" spans="1:11" ht="24.75" customHeight="1" x14ac:dyDescent="0.25">
      <c r="A36" s="53"/>
      <c r="B36" s="2041" t="s">
        <v>1883</v>
      </c>
      <c r="C36" s="2042"/>
      <c r="D36" s="2042"/>
      <c r="E36" s="2042"/>
      <c r="F36" s="2043"/>
      <c r="G36" s="518" t="s">
        <v>129</v>
      </c>
      <c r="H36" s="1730"/>
      <c r="I36" s="1729"/>
      <c r="J36" s="53"/>
      <c r="K36" s="53"/>
    </row>
    <row r="37" spans="1:11" x14ac:dyDescent="0.25">
      <c r="A37" s="53"/>
      <c r="B37" s="54"/>
      <c r="C37" s="54"/>
      <c r="D37" s="54"/>
      <c r="E37" s="53"/>
      <c r="F37" s="53"/>
      <c r="G37" s="53"/>
      <c r="H37" s="53"/>
      <c r="I37" s="53"/>
      <c r="J37" s="53"/>
      <c r="K37" s="53"/>
    </row>
    <row r="38" spans="1:11" ht="16.5" customHeight="1" x14ac:dyDescent="0.25">
      <c r="A38" s="2083" t="s">
        <v>25</v>
      </c>
      <c r="B38" s="2083"/>
      <c r="C38" s="2083"/>
      <c r="D38" s="53"/>
      <c r="E38" s="53"/>
      <c r="F38" s="53"/>
      <c r="G38" s="53"/>
      <c r="H38" s="53"/>
      <c r="I38" s="53"/>
      <c r="J38" s="53"/>
      <c r="K38" s="53"/>
    </row>
    <row r="39" spans="1:11" x14ac:dyDescent="0.25">
      <c r="A39" s="53"/>
      <c r="B39" s="54"/>
      <c r="C39" s="54"/>
      <c r="D39" s="54"/>
      <c r="E39" s="54"/>
      <c r="F39" s="53"/>
      <c r="G39" s="53"/>
      <c r="H39" s="53"/>
      <c r="I39" s="53"/>
      <c r="J39" s="53"/>
      <c r="K39" s="53"/>
    </row>
    <row r="40" spans="1:11" ht="18" customHeight="1" x14ac:dyDescent="0.25">
      <c r="A40" s="53"/>
      <c r="B40" s="284" t="s">
        <v>56</v>
      </c>
      <c r="C40" s="12">
        <f>IF(E31="Yes",1,0)</f>
        <v>0</v>
      </c>
      <c r="D40" s="54"/>
      <c r="E40" s="53"/>
      <c r="F40" s="53"/>
      <c r="G40" s="53"/>
      <c r="H40" s="53"/>
      <c r="I40" s="53"/>
      <c r="J40" s="53"/>
      <c r="K40" s="53"/>
    </row>
    <row r="41" spans="1:11" ht="18" customHeight="1" x14ac:dyDescent="0.25">
      <c r="A41" s="53"/>
      <c r="B41" s="284" t="s">
        <v>521</v>
      </c>
      <c r="C41" s="203" t="str">
        <f>IF(AND(G36="Submitted",C40&gt;0),"Yes","No")</f>
        <v>No</v>
      </c>
      <c r="D41" s="54"/>
      <c r="E41" s="54"/>
      <c r="F41" s="53"/>
      <c r="G41" s="53"/>
      <c r="H41" s="53"/>
      <c r="I41" s="53"/>
      <c r="J41" s="53"/>
      <c r="K41" s="53"/>
    </row>
    <row r="42" spans="1:11" ht="19.5" customHeight="1" x14ac:dyDescent="0.25">
      <c r="A42" s="53"/>
      <c r="B42" s="54"/>
      <c r="C42" s="54"/>
      <c r="D42" s="54"/>
      <c r="E42" s="54"/>
      <c r="F42" s="53"/>
      <c r="G42" s="53"/>
      <c r="H42" s="53"/>
      <c r="I42" s="53"/>
      <c r="J42" s="53"/>
      <c r="K42" s="53"/>
    </row>
    <row r="43" spans="1:11" ht="18" customHeight="1" x14ac:dyDescent="0.25">
      <c r="A43" s="2073" t="s">
        <v>984</v>
      </c>
      <c r="B43" s="2073"/>
      <c r="C43" s="2073"/>
      <c r="D43" s="2073"/>
      <c r="E43" s="2073"/>
      <c r="F43" s="2073"/>
      <c r="G43" s="2073"/>
      <c r="H43" s="2073"/>
      <c r="I43" s="2073"/>
      <c r="J43" s="2073"/>
      <c r="K43" s="2073"/>
    </row>
    <row r="44" spans="1:11" ht="15" customHeight="1" x14ac:dyDescent="0.25">
      <c r="A44" s="53"/>
      <c r="B44" s="54"/>
      <c r="C44" s="54"/>
      <c r="D44" s="54"/>
      <c r="E44" s="54"/>
      <c r="F44" s="53"/>
      <c r="G44" s="53"/>
      <c r="H44" s="53"/>
      <c r="I44" s="53"/>
      <c r="J44" s="53"/>
      <c r="K44" s="53"/>
    </row>
    <row r="45" spans="1:11" ht="16.5" customHeight="1" x14ac:dyDescent="0.25">
      <c r="A45" s="2083" t="s">
        <v>265</v>
      </c>
      <c r="B45" s="2083"/>
      <c r="C45" s="2083"/>
      <c r="D45" s="54"/>
      <c r="E45" s="54"/>
      <c r="F45" s="53"/>
      <c r="G45" s="53"/>
      <c r="H45" s="53"/>
      <c r="I45" s="53"/>
      <c r="J45" s="53"/>
      <c r="K45" s="53"/>
    </row>
    <row r="46" spans="1:11" x14ac:dyDescent="0.25">
      <c r="A46" s="53"/>
      <c r="B46" s="54"/>
      <c r="C46" s="54"/>
      <c r="D46" s="54"/>
      <c r="E46" s="54"/>
      <c r="F46" s="53"/>
      <c r="G46" s="53"/>
      <c r="H46" s="53"/>
      <c r="I46" s="53"/>
      <c r="J46" s="53"/>
      <c r="K46" s="53"/>
    </row>
    <row r="47" spans="1:11" x14ac:dyDescent="0.25">
      <c r="A47" s="53"/>
      <c r="B47" s="649" t="s">
        <v>1408</v>
      </c>
      <c r="C47" s="54"/>
      <c r="D47" s="54"/>
      <c r="E47" s="54"/>
      <c r="F47" s="53"/>
      <c r="G47" s="53"/>
      <c r="H47" s="53"/>
      <c r="I47" s="53"/>
      <c r="J47" s="53"/>
      <c r="K47" s="53"/>
    </row>
    <row r="48" spans="1:11" ht="18" customHeight="1" x14ac:dyDescent="0.25">
      <c r="A48" s="53"/>
      <c r="B48" s="54"/>
      <c r="C48" s="54"/>
      <c r="D48" s="54"/>
      <c r="E48" s="54"/>
      <c r="F48" s="53"/>
      <c r="G48" s="53"/>
      <c r="H48" s="53"/>
      <c r="I48" s="53"/>
      <c r="J48" s="53"/>
      <c r="K48" s="53"/>
    </row>
    <row r="49" spans="1:13" x14ac:dyDescent="0.25">
      <c r="A49" s="53"/>
      <c r="B49" s="717" t="s">
        <v>1365</v>
      </c>
      <c r="C49" s="54"/>
      <c r="D49" s="54"/>
      <c r="E49" s="54"/>
      <c r="F49" s="53"/>
      <c r="G49" s="53"/>
      <c r="H49" s="53"/>
      <c r="I49" s="53"/>
      <c r="J49" s="53"/>
      <c r="K49" s="53"/>
    </row>
    <row r="50" spans="1:13" ht="9" customHeight="1" x14ac:dyDescent="0.25">
      <c r="A50" s="53"/>
      <c r="B50" s="54"/>
      <c r="C50" s="54"/>
      <c r="D50" s="54"/>
      <c r="E50" s="54"/>
      <c r="F50" s="53"/>
      <c r="G50" s="53"/>
      <c r="H50" s="53"/>
      <c r="I50" s="53"/>
      <c r="J50" s="53"/>
      <c r="K50" s="53"/>
    </row>
    <row r="51" spans="1:13" ht="21" customHeight="1" x14ac:dyDescent="0.25">
      <c r="A51" s="53"/>
      <c r="B51" s="1436" t="s">
        <v>1407</v>
      </c>
      <c r="C51" s="1437"/>
      <c r="D51" s="1437"/>
      <c r="E51" s="1437"/>
      <c r="F51" s="1438"/>
      <c r="G51" s="1076" t="s">
        <v>129</v>
      </c>
      <c r="H51" s="53"/>
      <c r="I51" s="53"/>
      <c r="J51" s="53"/>
      <c r="K51" s="53"/>
      <c r="L51" s="87"/>
      <c r="M51" s="87"/>
    </row>
    <row r="52" spans="1:13" ht="18" customHeight="1" x14ac:dyDescent="0.25">
      <c r="A52" s="53"/>
      <c r="B52" s="53"/>
      <c r="C52" s="53"/>
      <c r="D52" s="53"/>
      <c r="E52" s="53"/>
      <c r="F52" s="53"/>
      <c r="G52" s="53"/>
      <c r="H52" s="53"/>
      <c r="I52" s="53"/>
      <c r="J52" s="53"/>
      <c r="K52" s="53"/>
    </row>
    <row r="53" spans="1:13" ht="18" customHeight="1" x14ac:dyDescent="0.25">
      <c r="A53" s="53"/>
      <c r="B53" s="2082" t="s">
        <v>700</v>
      </c>
      <c r="C53" s="2082"/>
      <c r="D53" s="2082"/>
      <c r="E53" s="285" t="str">
        <f>IF(G51="Yes","Yes","No")</f>
        <v>No</v>
      </c>
      <c r="F53" s="53"/>
      <c r="G53" s="53"/>
      <c r="H53" s="53"/>
      <c r="I53" s="53"/>
      <c r="J53" s="53"/>
      <c r="K53" s="53"/>
    </row>
    <row r="54" spans="1:13" ht="16.5" customHeight="1" x14ac:dyDescent="0.25">
      <c r="A54" s="53"/>
      <c r="B54" s="54"/>
      <c r="C54" s="54"/>
      <c r="D54" s="54"/>
      <c r="E54" s="53"/>
      <c r="F54" s="53"/>
      <c r="G54" s="53"/>
      <c r="H54" s="53"/>
      <c r="I54" s="53"/>
      <c r="J54" s="53"/>
      <c r="K54" s="53"/>
    </row>
    <row r="55" spans="1:13" ht="16.5" customHeight="1" x14ac:dyDescent="0.25">
      <c r="A55" s="2083" t="s">
        <v>200</v>
      </c>
      <c r="B55" s="2083"/>
      <c r="C55" s="2083"/>
      <c r="D55" s="53"/>
      <c r="E55" s="53"/>
      <c r="F55" s="53"/>
      <c r="G55" s="53"/>
      <c r="H55" s="53"/>
      <c r="I55" s="53"/>
      <c r="J55" s="53"/>
      <c r="K55" s="53"/>
    </row>
    <row r="56" spans="1:13" x14ac:dyDescent="0.25">
      <c r="A56" s="53"/>
      <c r="B56" s="54"/>
      <c r="C56" s="54"/>
      <c r="D56" s="54"/>
      <c r="E56" s="53"/>
      <c r="F56" s="53"/>
      <c r="G56" s="53"/>
      <c r="H56" s="53"/>
      <c r="I56" s="53"/>
      <c r="J56" s="53"/>
      <c r="K56" s="53"/>
    </row>
    <row r="57" spans="1:13" ht="15" customHeight="1" x14ac:dyDescent="0.25">
      <c r="A57" s="53"/>
      <c r="B57" s="2049" t="s">
        <v>622</v>
      </c>
      <c r="C57" s="2049"/>
      <c r="D57" s="2049"/>
      <c r="E57" s="2049"/>
      <c r="F57" s="2049"/>
      <c r="G57" s="2049"/>
      <c r="H57" s="53"/>
      <c r="I57" s="53"/>
      <c r="J57" s="53"/>
      <c r="K57" s="53"/>
    </row>
    <row r="58" spans="1:13" x14ac:dyDescent="0.25">
      <c r="A58" s="53"/>
      <c r="B58" s="54"/>
      <c r="C58" s="54"/>
      <c r="D58" s="54"/>
      <c r="E58" s="53"/>
      <c r="F58" s="53"/>
      <c r="G58" s="53"/>
      <c r="H58" s="53"/>
      <c r="I58" s="53"/>
      <c r="J58" s="53"/>
      <c r="K58" s="53"/>
    </row>
    <row r="59" spans="1:13" ht="16.5" customHeight="1" x14ac:dyDescent="0.25">
      <c r="A59" s="2083" t="s">
        <v>25</v>
      </c>
      <c r="B59" s="2083"/>
      <c r="C59" s="2083"/>
      <c r="D59" s="53"/>
      <c r="E59" s="53"/>
      <c r="F59" s="53"/>
      <c r="G59" s="53"/>
      <c r="H59" s="53"/>
      <c r="I59" s="53"/>
      <c r="J59" s="53"/>
      <c r="K59" s="53"/>
    </row>
    <row r="60" spans="1:13" x14ac:dyDescent="0.25">
      <c r="A60" s="53"/>
      <c r="B60" s="54"/>
      <c r="C60" s="54"/>
      <c r="D60" s="54"/>
      <c r="E60" s="54"/>
      <c r="F60" s="53"/>
      <c r="G60" s="53"/>
      <c r="H60" s="53"/>
      <c r="I60" s="53"/>
      <c r="J60" s="53"/>
      <c r="K60" s="53"/>
    </row>
    <row r="61" spans="1:13" ht="18" customHeight="1" x14ac:dyDescent="0.25">
      <c r="A61" s="53"/>
      <c r="B61" s="284" t="s">
        <v>56</v>
      </c>
      <c r="C61" s="12">
        <f>IF(E53="Yes",1,0)</f>
        <v>0</v>
      </c>
      <c r="D61" s="54"/>
      <c r="E61" s="53"/>
      <c r="F61" s="53"/>
      <c r="G61" s="53"/>
      <c r="H61" s="53"/>
      <c r="I61" s="53"/>
      <c r="J61" s="53"/>
      <c r="K61" s="53"/>
    </row>
    <row r="62" spans="1:13" ht="18" customHeight="1" x14ac:dyDescent="0.25">
      <c r="A62" s="53"/>
      <c r="B62" s="284" t="s">
        <v>521</v>
      </c>
      <c r="C62" s="203" t="str">
        <f>IF(C61&gt;0,"Yes","No")</f>
        <v>No</v>
      </c>
      <c r="D62" s="54"/>
      <c r="E62" s="54"/>
      <c r="F62" s="53"/>
      <c r="G62" s="53"/>
      <c r="H62" s="53"/>
      <c r="I62" s="53"/>
      <c r="J62" s="53"/>
      <c r="K62" s="53"/>
    </row>
    <row r="63" spans="1:13" ht="19.5" customHeight="1" x14ac:dyDescent="0.25">
      <c r="A63" s="53"/>
      <c r="B63" s="54"/>
      <c r="C63" s="54"/>
      <c r="D63" s="54"/>
      <c r="E63" s="54"/>
      <c r="F63" s="53"/>
      <c r="G63" s="53"/>
      <c r="H63" s="53"/>
      <c r="I63" s="53"/>
      <c r="J63" s="53"/>
      <c r="K63" s="53"/>
    </row>
    <row r="64" spans="1:13" ht="18" customHeight="1" x14ac:dyDescent="0.25">
      <c r="A64" s="2073" t="s">
        <v>985</v>
      </c>
      <c r="B64" s="2073"/>
      <c r="C64" s="2073"/>
      <c r="D64" s="2073"/>
      <c r="E64" s="2073"/>
      <c r="F64" s="2073"/>
      <c r="G64" s="2073"/>
      <c r="H64" s="2073"/>
      <c r="I64" s="2073"/>
      <c r="J64" s="2073"/>
      <c r="K64" s="2073"/>
    </row>
    <row r="65" spans="1:11" x14ac:dyDescent="0.25">
      <c r="A65" s="53"/>
      <c r="B65" s="54"/>
      <c r="C65" s="54"/>
      <c r="D65" s="54"/>
      <c r="E65" s="54"/>
      <c r="F65" s="53"/>
      <c r="G65" s="53"/>
      <c r="H65" s="53"/>
      <c r="I65" s="53"/>
      <c r="J65" s="53"/>
      <c r="K65" s="53"/>
    </row>
    <row r="66" spans="1:11" ht="16.5" customHeight="1" x14ac:dyDescent="0.25">
      <c r="A66" s="2083" t="s">
        <v>265</v>
      </c>
      <c r="B66" s="2083"/>
      <c r="C66" s="2083"/>
      <c r="D66" s="54"/>
      <c r="E66" s="54"/>
      <c r="F66" s="53"/>
      <c r="G66" s="53"/>
      <c r="H66" s="53"/>
      <c r="I66" s="53"/>
      <c r="J66" s="53"/>
      <c r="K66" s="53"/>
    </row>
    <row r="67" spans="1:11" x14ac:dyDescent="0.25">
      <c r="A67" s="53"/>
      <c r="B67" s="54"/>
      <c r="C67" s="54"/>
      <c r="D67" s="54"/>
      <c r="E67" s="54"/>
      <c r="F67" s="53"/>
      <c r="G67" s="53"/>
      <c r="H67" s="53"/>
      <c r="I67" s="53"/>
      <c r="J67" s="53"/>
      <c r="K67" s="53"/>
    </row>
    <row r="68" spans="1:11" ht="18" customHeight="1" x14ac:dyDescent="0.25">
      <c r="A68" s="53"/>
      <c r="B68" s="895" t="s">
        <v>694</v>
      </c>
      <c r="C68" s="54"/>
      <c r="D68" s="54"/>
      <c r="E68" s="54"/>
      <c r="F68" s="53"/>
      <c r="G68" s="53"/>
      <c r="H68" s="53"/>
      <c r="I68" s="53"/>
      <c r="J68" s="53"/>
      <c r="K68" s="53"/>
    </row>
    <row r="69" spans="1:11" ht="15" customHeight="1" x14ac:dyDescent="0.25">
      <c r="A69" s="53"/>
      <c r="B69" s="895"/>
      <c r="C69" s="54"/>
      <c r="D69" s="54"/>
      <c r="E69" s="54"/>
      <c r="F69" s="53"/>
      <c r="G69" s="53"/>
      <c r="H69" s="53"/>
      <c r="I69" s="53"/>
      <c r="J69" s="53"/>
      <c r="K69" s="53"/>
    </row>
    <row r="70" spans="1:11" ht="16.5" customHeight="1" x14ac:dyDescent="0.25">
      <c r="A70" s="53"/>
      <c r="B70" s="653" t="s">
        <v>689</v>
      </c>
      <c r="C70" s="695"/>
      <c r="D70" s="695"/>
      <c r="E70" s="695"/>
      <c r="F70" s="695"/>
      <c r="G70" s="695"/>
      <c r="H70" s="695"/>
      <c r="I70" s="696"/>
      <c r="J70" s="53"/>
      <c r="K70" s="53"/>
    </row>
    <row r="71" spans="1:11" ht="27" customHeight="1" x14ac:dyDescent="0.25">
      <c r="A71" s="53"/>
      <c r="B71" s="1869" t="s">
        <v>692</v>
      </c>
      <c r="C71" s="1870"/>
      <c r="D71" s="1870"/>
      <c r="E71" s="1870"/>
      <c r="F71" s="1870"/>
      <c r="G71" s="1870"/>
      <c r="H71" s="1870"/>
      <c r="I71" s="1871"/>
      <c r="J71" s="53"/>
      <c r="K71" s="53"/>
    </row>
    <row r="72" spans="1:11" ht="16.5" customHeight="1" x14ac:dyDescent="0.25">
      <c r="A72" s="53"/>
      <c r="B72" s="882" t="s">
        <v>690</v>
      </c>
      <c r="C72" s="883"/>
      <c r="D72" s="883"/>
      <c r="E72" s="883"/>
      <c r="F72" s="883"/>
      <c r="G72" s="883"/>
      <c r="H72" s="883"/>
      <c r="I72" s="884"/>
      <c r="J72" s="53"/>
      <c r="K72" s="53"/>
    </row>
    <row r="73" spans="1:11" ht="16.5" customHeight="1" x14ac:dyDescent="0.25">
      <c r="A73" s="53"/>
      <c r="B73" s="882" t="s">
        <v>691</v>
      </c>
      <c r="C73" s="883"/>
      <c r="D73" s="883"/>
      <c r="E73" s="883"/>
      <c r="F73" s="883"/>
      <c r="G73" s="883"/>
      <c r="H73" s="883"/>
      <c r="I73" s="884"/>
      <c r="J73" s="53"/>
      <c r="K73" s="53"/>
    </row>
    <row r="74" spans="1:11" ht="16.5" customHeight="1" x14ac:dyDescent="0.25">
      <c r="A74" s="53"/>
      <c r="B74" s="885" t="s">
        <v>693</v>
      </c>
      <c r="C74" s="886"/>
      <c r="D74" s="886"/>
      <c r="E74" s="886"/>
      <c r="F74" s="886"/>
      <c r="G74" s="886"/>
      <c r="H74" s="886"/>
      <c r="I74" s="887"/>
      <c r="J74" s="53"/>
      <c r="K74" s="53"/>
    </row>
    <row r="75" spans="1:11" x14ac:dyDescent="0.25">
      <c r="A75" s="53"/>
      <c r="B75" s="53"/>
      <c r="C75" s="53"/>
      <c r="D75" s="53"/>
      <c r="E75" s="53"/>
      <c r="F75" s="53"/>
      <c r="G75" s="53"/>
      <c r="H75" s="53"/>
      <c r="I75" s="53"/>
      <c r="J75" s="53"/>
      <c r="K75" s="53"/>
    </row>
    <row r="76" spans="1:11" x14ac:dyDescent="0.25">
      <c r="A76" s="53"/>
      <c r="B76" s="207" t="s">
        <v>695</v>
      </c>
      <c r="C76" s="54"/>
      <c r="D76" s="54"/>
      <c r="E76" s="54"/>
      <c r="F76" s="53"/>
      <c r="G76" s="53"/>
      <c r="H76" s="53"/>
      <c r="I76" s="53"/>
      <c r="J76" s="53"/>
      <c r="K76" s="53"/>
    </row>
    <row r="77" spans="1:11" ht="18" customHeight="1" x14ac:dyDescent="0.25">
      <c r="A77" s="53"/>
      <c r="B77" s="2099" t="s">
        <v>696</v>
      </c>
      <c r="C77" s="2118"/>
      <c r="D77" s="2122"/>
      <c r="E77" s="2123"/>
      <c r="F77" s="53"/>
      <c r="G77" s="53"/>
      <c r="H77" s="53"/>
      <c r="I77" s="53"/>
      <c r="J77" s="53"/>
      <c r="K77" s="53"/>
    </row>
    <row r="78" spans="1:11" ht="25.5" customHeight="1" x14ac:dyDescent="0.25">
      <c r="A78" s="53"/>
      <c r="B78" s="2099" t="s">
        <v>697</v>
      </c>
      <c r="C78" s="2118"/>
      <c r="D78" s="2119"/>
      <c r="E78" s="2120"/>
      <c r="F78" s="2120"/>
      <c r="G78" s="2120"/>
      <c r="H78" s="2121"/>
      <c r="I78" s="53"/>
      <c r="J78" s="53"/>
      <c r="K78" s="53"/>
    </row>
    <row r="79" spans="1:11" x14ac:dyDescent="0.25">
      <c r="A79" s="53"/>
      <c r="B79" s="54"/>
      <c r="C79" s="54"/>
      <c r="D79" s="54"/>
      <c r="E79" s="54"/>
      <c r="F79" s="53"/>
      <c r="G79" s="53"/>
      <c r="H79" s="53"/>
      <c r="I79" s="53"/>
      <c r="J79" s="53"/>
      <c r="K79" s="53"/>
    </row>
    <row r="80" spans="1:11" x14ac:dyDescent="0.25">
      <c r="A80" s="53"/>
      <c r="B80" s="207" t="s">
        <v>698</v>
      </c>
      <c r="C80" s="54"/>
      <c r="D80" s="54"/>
      <c r="E80" s="54"/>
      <c r="F80" s="53"/>
      <c r="G80" s="53"/>
      <c r="H80" s="53"/>
      <c r="I80" s="53"/>
      <c r="J80" s="53"/>
      <c r="K80" s="53"/>
    </row>
    <row r="81" spans="1:11" x14ac:dyDescent="0.25">
      <c r="A81" s="53"/>
      <c r="B81" s="2099" t="s">
        <v>696</v>
      </c>
      <c r="C81" s="2118"/>
      <c r="D81" s="2122"/>
      <c r="E81" s="2123"/>
      <c r="F81" s="53"/>
      <c r="G81" s="53"/>
      <c r="H81" s="53"/>
      <c r="I81" s="53"/>
      <c r="J81" s="53"/>
      <c r="K81" s="53"/>
    </row>
    <row r="82" spans="1:11" ht="25.5" customHeight="1" x14ac:dyDescent="0.25">
      <c r="A82" s="53"/>
      <c r="B82" s="2099" t="s">
        <v>697</v>
      </c>
      <c r="C82" s="2118"/>
      <c r="D82" s="2119"/>
      <c r="E82" s="2120"/>
      <c r="F82" s="2120"/>
      <c r="G82" s="2120"/>
      <c r="H82" s="2121"/>
      <c r="I82" s="53"/>
      <c r="J82" s="53"/>
      <c r="K82" s="53"/>
    </row>
    <row r="83" spans="1:11" x14ac:dyDescent="0.25">
      <c r="A83" s="53"/>
      <c r="B83" s="53"/>
      <c r="C83" s="53"/>
      <c r="D83" s="53"/>
      <c r="E83" s="53"/>
      <c r="F83" s="53"/>
      <c r="G83" s="53"/>
      <c r="H83" s="53"/>
      <c r="I83" s="53"/>
      <c r="J83" s="53"/>
      <c r="K83" s="53"/>
    </row>
    <row r="84" spans="1:11" ht="18" customHeight="1" x14ac:dyDescent="0.25">
      <c r="A84" s="53"/>
      <c r="B84" s="2082" t="s">
        <v>699</v>
      </c>
      <c r="C84" s="2082"/>
      <c r="D84" s="2082"/>
      <c r="E84" s="285" t="str">
        <f>IF(AND(D82&lt;&gt;"",D77&lt;&gt;"",D81&lt;&gt;"",D78&lt;&gt;""),"Yes","No")</f>
        <v>No</v>
      </c>
      <c r="F84" s="53"/>
      <c r="G84" s="53"/>
      <c r="H84" s="53"/>
      <c r="I84" s="53"/>
      <c r="J84" s="53"/>
      <c r="K84" s="53"/>
    </row>
    <row r="85" spans="1:11" ht="18" customHeight="1" x14ac:dyDescent="0.25">
      <c r="A85" s="53"/>
      <c r="B85" s="54"/>
      <c r="C85" s="54"/>
      <c r="D85" s="54"/>
      <c r="E85" s="53"/>
      <c r="F85" s="53"/>
      <c r="G85" s="53"/>
      <c r="H85" s="53"/>
      <c r="I85" s="53"/>
      <c r="J85" s="53"/>
      <c r="K85" s="53"/>
    </row>
    <row r="86" spans="1:11" ht="16.5" customHeight="1" x14ac:dyDescent="0.25">
      <c r="A86" s="2083" t="s">
        <v>200</v>
      </c>
      <c r="B86" s="2083"/>
      <c r="C86" s="2083"/>
      <c r="D86" s="53"/>
      <c r="E86" s="53"/>
      <c r="F86" s="53"/>
      <c r="G86" s="53"/>
      <c r="H86" s="53"/>
      <c r="I86" s="53"/>
      <c r="J86" s="53"/>
      <c r="K86" s="53"/>
    </row>
    <row r="87" spans="1:11" ht="12" customHeight="1" x14ac:dyDescent="0.25">
      <c r="A87" s="53"/>
      <c r="B87" s="54"/>
      <c r="C87" s="54"/>
      <c r="D87" s="54"/>
      <c r="E87" s="53"/>
      <c r="F87" s="53"/>
      <c r="G87" s="53"/>
      <c r="H87" s="53"/>
      <c r="I87" s="53"/>
      <c r="J87" s="53"/>
      <c r="K87" s="53"/>
    </row>
    <row r="88" spans="1:11" ht="18" customHeight="1" x14ac:dyDescent="0.25">
      <c r="A88" s="53"/>
      <c r="B88" s="2071" t="s">
        <v>2103</v>
      </c>
      <c r="C88" s="2072"/>
      <c r="D88" s="2072"/>
      <c r="E88" s="2072"/>
      <c r="F88" s="2072"/>
      <c r="G88" s="1085" t="s">
        <v>2101</v>
      </c>
      <c r="H88" s="2075" t="s">
        <v>2102</v>
      </c>
      <c r="I88" s="2076"/>
      <c r="J88" s="53"/>
      <c r="K88" s="53"/>
    </row>
    <row r="89" spans="1:11" ht="27.75" customHeight="1" x14ac:dyDescent="0.25">
      <c r="A89" s="53"/>
      <c r="B89" s="2041" t="s">
        <v>1884</v>
      </c>
      <c r="C89" s="2042"/>
      <c r="D89" s="2042"/>
      <c r="E89" s="2042"/>
      <c r="F89" s="2043"/>
      <c r="G89" s="518" t="s">
        <v>129</v>
      </c>
      <c r="H89" s="1730"/>
      <c r="I89" s="1729"/>
      <c r="J89" s="53"/>
      <c r="K89" s="53"/>
    </row>
    <row r="90" spans="1:11" x14ac:dyDescent="0.25">
      <c r="A90" s="53"/>
      <c r="B90" s="54"/>
      <c r="C90" s="54"/>
      <c r="D90" s="54"/>
      <c r="E90" s="53"/>
      <c r="F90" s="53"/>
      <c r="G90" s="53"/>
      <c r="H90" s="53"/>
      <c r="I90" s="53"/>
      <c r="J90" s="53"/>
      <c r="K90" s="53"/>
    </row>
    <row r="91" spans="1:11" ht="16.5" customHeight="1" x14ac:dyDescent="0.25">
      <c r="A91" s="2083" t="s">
        <v>25</v>
      </c>
      <c r="B91" s="2083"/>
      <c r="C91" s="2083"/>
      <c r="D91" s="53"/>
      <c r="E91" s="53"/>
      <c r="F91" s="53"/>
      <c r="G91" s="53"/>
      <c r="H91" s="53"/>
      <c r="I91" s="53"/>
      <c r="J91" s="53"/>
      <c r="K91" s="53"/>
    </row>
    <row r="92" spans="1:11" x14ac:dyDescent="0.25">
      <c r="A92" s="53"/>
      <c r="B92" s="54"/>
      <c r="C92" s="54"/>
      <c r="D92" s="54"/>
      <c r="E92" s="54"/>
      <c r="F92" s="53"/>
      <c r="G92" s="53"/>
      <c r="H92" s="53"/>
      <c r="I92" s="53"/>
      <c r="J92" s="53"/>
      <c r="K92" s="53"/>
    </row>
    <row r="93" spans="1:11" ht="18" customHeight="1" x14ac:dyDescent="0.25">
      <c r="A93" s="53"/>
      <c r="B93" s="284" t="s">
        <v>56</v>
      </c>
      <c r="C93" s="12">
        <f>IF(E84="Yes",1,0)</f>
        <v>0</v>
      </c>
      <c r="D93" s="54"/>
      <c r="E93" s="53"/>
      <c r="F93" s="53"/>
      <c r="G93" s="53"/>
      <c r="H93" s="53"/>
      <c r="I93" s="53"/>
      <c r="J93" s="53"/>
      <c r="K93" s="53"/>
    </row>
    <row r="94" spans="1:11" ht="18" customHeight="1" x14ac:dyDescent="0.25">
      <c r="A94" s="53"/>
      <c r="B94" s="284" t="s">
        <v>521</v>
      </c>
      <c r="C94" s="203" t="str">
        <f>IF(AND(G89="Submitted",C93&gt;0),"Yes","No")</f>
        <v>No</v>
      </c>
      <c r="D94" s="54"/>
      <c r="E94" s="54"/>
      <c r="F94" s="53"/>
      <c r="G94" s="53"/>
      <c r="H94" s="53"/>
      <c r="I94" s="53"/>
      <c r="J94" s="53"/>
      <c r="K94" s="53"/>
    </row>
    <row r="95" spans="1:11" ht="12" customHeight="1" x14ac:dyDescent="0.25">
      <c r="A95" s="53"/>
      <c r="B95" s="54"/>
      <c r="C95" s="54"/>
      <c r="D95" s="54"/>
      <c r="E95" s="54"/>
      <c r="F95" s="53"/>
      <c r="G95" s="53"/>
      <c r="H95" s="53"/>
      <c r="I95" s="53"/>
      <c r="J95" s="53"/>
      <c r="K95" s="53"/>
    </row>
    <row r="96" spans="1:11" ht="12" customHeight="1" x14ac:dyDescent="0.25">
      <c r="A96" s="53"/>
      <c r="B96" s="54"/>
      <c r="C96" s="54"/>
      <c r="D96" s="54"/>
      <c r="E96" s="54"/>
      <c r="F96" s="53"/>
      <c r="G96" s="53"/>
      <c r="H96" s="53"/>
      <c r="I96" s="53"/>
      <c r="J96" s="53"/>
      <c r="K96" s="53"/>
    </row>
    <row r="97" spans="1:11" hidden="1" x14ac:dyDescent="0.25">
      <c r="A97" s="53"/>
      <c r="B97" s="54"/>
      <c r="C97" s="54"/>
      <c r="D97" s="54"/>
      <c r="E97" s="54"/>
      <c r="F97" s="53"/>
      <c r="G97" s="53"/>
      <c r="H97" s="53"/>
      <c r="I97" s="53"/>
      <c r="J97" s="53"/>
      <c r="K97" s="53"/>
    </row>
    <row r="98" spans="1:11" ht="15" hidden="1" customHeight="1" x14ac:dyDescent="0.25"/>
    <row r="99" spans="1:11" ht="15" hidden="1" customHeight="1" x14ac:dyDescent="0.25"/>
    <row r="100" spans="1:11" ht="15" hidden="1" customHeight="1" x14ac:dyDescent="0.25"/>
    <row r="101" spans="1:11" ht="15" hidden="1" customHeight="1" x14ac:dyDescent="0.25"/>
    <row r="102" spans="1:11" ht="15" hidden="1" customHeight="1" x14ac:dyDescent="0.25"/>
    <row r="103" spans="1:11" ht="15" hidden="1" customHeight="1" x14ac:dyDescent="0.25"/>
    <row r="104" spans="1:11" ht="15" hidden="1" customHeight="1" x14ac:dyDescent="0.25"/>
    <row r="105" spans="1:11" ht="15" hidden="1" customHeight="1" x14ac:dyDescent="0.25"/>
    <row r="106" spans="1:11" ht="15" hidden="1" customHeight="1" x14ac:dyDescent="0.25"/>
    <row r="107" spans="1:11" ht="15" hidden="1" customHeight="1" x14ac:dyDescent="0.25"/>
    <row r="108" spans="1:11" ht="15" hidden="1" customHeight="1" x14ac:dyDescent="0.25"/>
    <row r="109" spans="1:11" ht="15" hidden="1" customHeight="1" x14ac:dyDescent="0.25"/>
    <row r="110" spans="1:11" ht="15" hidden="1" customHeight="1" x14ac:dyDescent="0.25"/>
    <row r="111" spans="1:11" ht="15" hidden="1" customHeight="1" x14ac:dyDescent="0.25"/>
    <row r="112" spans="1:11"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sheetData>
  <sheetProtection algorithmName="SHA-512" hashValue="OvmheNXMNQq/7Aum74CNf5lFMgkzQbq9pUelDbC5aqLMlaHE842NsFT3edd8jNvgZV95bwlG9nj1ysvyv3y5tg==" saltValue="L2LvpIlbYZGiaYGssG/gRQ==" spinCount="100000" sheet="1" objects="1" scenarios="1"/>
  <mergeCells count="50">
    <mergeCell ref="B88:F88"/>
    <mergeCell ref="H88:I88"/>
    <mergeCell ref="H89:I89"/>
    <mergeCell ref="H36:I36"/>
    <mergeCell ref="A86:C86"/>
    <mergeCell ref="B78:C78"/>
    <mergeCell ref="A45:C45"/>
    <mergeCell ref="B57:G57"/>
    <mergeCell ref="A64:K64"/>
    <mergeCell ref="A55:C55"/>
    <mergeCell ref="A91:C91"/>
    <mergeCell ref="B89:F89"/>
    <mergeCell ref="B36:F36"/>
    <mergeCell ref="B84:D84"/>
    <mergeCell ref="B51:F51"/>
    <mergeCell ref="B53:D53"/>
    <mergeCell ref="B81:C81"/>
    <mergeCell ref="D81:E81"/>
    <mergeCell ref="B82:C82"/>
    <mergeCell ref="D82:H82"/>
    <mergeCell ref="D78:H78"/>
    <mergeCell ref="B71:I71"/>
    <mergeCell ref="B77:C77"/>
    <mergeCell ref="A59:C59"/>
    <mergeCell ref="D77:E77"/>
    <mergeCell ref="A66:C66"/>
    <mergeCell ref="B28:C28"/>
    <mergeCell ref="D28:E28"/>
    <mergeCell ref="B31:D31"/>
    <mergeCell ref="A43:K43"/>
    <mergeCell ref="A38:C38"/>
    <mergeCell ref="A33:C33"/>
    <mergeCell ref="B35:F35"/>
    <mergeCell ref="H35:I35"/>
    <mergeCell ref="B25:F25"/>
    <mergeCell ref="B29:C29"/>
    <mergeCell ref="D29:H29"/>
    <mergeCell ref="I2:J4"/>
    <mergeCell ref="B10:E10"/>
    <mergeCell ref="B11:E11"/>
    <mergeCell ref="B24:F24"/>
    <mergeCell ref="B12:E12"/>
    <mergeCell ref="B13:E13"/>
    <mergeCell ref="A16:K16"/>
    <mergeCell ref="A8:K8"/>
    <mergeCell ref="A18:C18"/>
    <mergeCell ref="A5:K6"/>
    <mergeCell ref="B14:E14"/>
    <mergeCell ref="B27:C27"/>
    <mergeCell ref="D27:E27"/>
  </mergeCells>
  <conditionalFormatting sqref="G89">
    <cfRule type="expression" dxfId="13" priority="6">
      <formula>#REF!&lt;&gt;"Prescriptive Path"</formula>
    </cfRule>
  </conditionalFormatting>
  <conditionalFormatting sqref="G36">
    <cfRule type="expression" dxfId="12" priority="5">
      <formula>#REF!&lt;&gt;"Prescriptive Path"</formula>
    </cfRule>
  </conditionalFormatting>
  <conditionalFormatting sqref="H35:I35">
    <cfRule type="expression" dxfId="11" priority="4">
      <formula>#REF!&lt;&gt;"Prescriptive Path"</formula>
    </cfRule>
  </conditionalFormatting>
  <conditionalFormatting sqref="H88:I88">
    <cfRule type="expression" dxfId="10" priority="3">
      <formula>#REF!&lt;&gt;"Prescriptive Path"</formula>
    </cfRule>
  </conditionalFormatting>
  <conditionalFormatting sqref="H89">
    <cfRule type="expression" dxfId="9" priority="2">
      <formula>#REF!&lt;&gt;"Prescriptive Path"</formula>
    </cfRule>
  </conditionalFormatting>
  <conditionalFormatting sqref="H36">
    <cfRule type="expression" dxfId="8" priority="1">
      <formula>#REF!&lt;&gt;"Prescriptive Path"</formula>
    </cfRule>
  </conditionalFormatting>
  <dataValidations count="2">
    <dataValidation type="list" allowBlank="1" showInputMessage="1" showErrorMessage="1" sqref="G89 G36">
      <formula1>"Submitted,Not submitted"</formula1>
    </dataValidation>
    <dataValidation type="list" allowBlank="1" showInputMessage="1" showErrorMessage="1" sqref="G24:G25 G51">
      <formula1>"Select,Yes,No"</formula1>
    </dataValidation>
  </dataValidations>
  <hyperlinks>
    <hyperlink ref="K3" location="'CM-2 Construction Management'!B3" tooltip="CM-2" display="CM-2"/>
    <hyperlink ref="K4" location="'CM-3 Operational Management'!C3" tooltip="CM-3" display="CM-3"/>
    <hyperlink ref="K2" location="'CM-1 Design Stage'!C3" tooltip="CM-1" display="CM-1"/>
  </hyperlinks>
  <pageMargins left="0.7" right="0.7" top="0.75" bottom="0.75" header="0.3" footer="0.3"/>
  <pageSetup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C000"/>
  </sheetPr>
  <dimension ref="A1:Q54"/>
  <sheetViews>
    <sheetView showRowColHeaders="0" zoomScale="90" zoomScaleNormal="90" workbookViewId="0">
      <selection activeCell="F11" sqref="F11"/>
    </sheetView>
  </sheetViews>
  <sheetFormatPr defaultColWidth="0" defaultRowHeight="0" customHeight="1" zeroHeight="1" x14ac:dyDescent="0.25"/>
  <cols>
    <col min="1" max="1" width="5.7109375" customWidth="1"/>
    <col min="2" max="2" width="31.7109375" customWidth="1"/>
    <col min="3" max="3" width="3.7109375" customWidth="1"/>
    <col min="4" max="4" width="9.5703125" customWidth="1"/>
    <col min="5" max="5" width="24.28515625" customWidth="1"/>
    <col min="6" max="6" width="23.7109375" customWidth="1"/>
    <col min="7" max="8" width="18.7109375" customWidth="1"/>
    <col min="9" max="9" width="9.42578125" customWidth="1"/>
    <col min="10" max="10" width="8" customWidth="1"/>
    <col min="11" max="11" width="4" customWidth="1"/>
    <col min="12" max="12" width="5.42578125" customWidth="1"/>
    <col min="13" max="17" width="0" hidden="1" customWidth="1"/>
    <col min="18" max="16384" width="9.140625" hidden="1"/>
  </cols>
  <sheetData>
    <row r="1" spans="1:12" ht="30" customHeight="1" x14ac:dyDescent="0.25">
      <c r="A1" s="393"/>
      <c r="B1" s="2131" t="s">
        <v>155</v>
      </c>
      <c r="C1" s="394"/>
      <c r="D1" s="342"/>
      <c r="E1" s="343"/>
      <c r="F1" s="343"/>
      <c r="G1" s="343"/>
      <c r="H1" s="343"/>
      <c r="I1" s="343"/>
      <c r="J1" s="343"/>
      <c r="K1" s="343"/>
      <c r="L1" s="344"/>
    </row>
    <row r="2" spans="1:12" ht="28.5" customHeight="1" x14ac:dyDescent="0.25">
      <c r="A2" s="395"/>
      <c r="B2" s="2132"/>
      <c r="C2" s="396"/>
      <c r="D2" s="345"/>
      <c r="E2" s="346"/>
      <c r="F2" s="346"/>
      <c r="G2" s="346"/>
      <c r="H2" s="346"/>
      <c r="I2" s="346"/>
      <c r="J2" s="346"/>
      <c r="K2" s="346"/>
      <c r="L2" s="347"/>
    </row>
    <row r="3" spans="1:12" ht="25.5" customHeight="1" x14ac:dyDescent="0.25">
      <c r="A3" s="395"/>
      <c r="B3" s="2132"/>
      <c r="C3" s="396"/>
      <c r="D3" s="345"/>
      <c r="E3" s="346"/>
      <c r="F3" s="346"/>
      <c r="G3" s="346"/>
      <c r="H3" s="346"/>
      <c r="I3" s="346"/>
      <c r="J3" s="346"/>
      <c r="K3" s="346"/>
      <c r="L3" s="347"/>
    </row>
    <row r="4" spans="1:12" ht="15" customHeight="1" x14ac:dyDescent="0.25">
      <c r="A4" s="395"/>
      <c r="B4" s="2133" t="str">
        <f>IF(A1="","Rewards exceptional performance, well above the LOTUS requirements and recognises innovative features or initiatives which are not specifically adressed by LOTUS","Điểm thưởng cho những biểu hiện vượt trội hơn so với yêu cầu của LOTUS và ghi nhận những điểm đột phá mang lại lợi ích cho môi trường mà LOTUS không đề cập tới.")</f>
        <v>Rewards exceptional performance, well above the LOTUS requirements and recognises innovative features or initiatives which are not specifically adressed by LOTUS</v>
      </c>
      <c r="C4" s="397"/>
      <c r="D4" s="345"/>
      <c r="E4" s="2134" t="s">
        <v>391</v>
      </c>
      <c r="F4" s="2134"/>
      <c r="G4" s="2124" t="s">
        <v>392</v>
      </c>
      <c r="H4" s="2124" t="s">
        <v>56</v>
      </c>
      <c r="I4" s="346"/>
      <c r="J4" s="346"/>
      <c r="K4" s="346"/>
      <c r="L4" s="347"/>
    </row>
    <row r="5" spans="1:12" ht="15" customHeight="1" x14ac:dyDescent="0.25">
      <c r="A5" s="395"/>
      <c r="B5" s="2133"/>
      <c r="C5" s="397"/>
      <c r="D5" s="345"/>
      <c r="E5" s="2134"/>
      <c r="F5" s="2134"/>
      <c r="G5" s="2124"/>
      <c r="H5" s="2124"/>
      <c r="I5" s="346"/>
      <c r="J5" s="346"/>
      <c r="K5" s="346"/>
      <c r="L5" s="347"/>
    </row>
    <row r="6" spans="1:12" ht="23.25" customHeight="1" x14ac:dyDescent="0.25">
      <c r="A6" s="395"/>
      <c r="B6" s="2133"/>
      <c r="C6" s="397"/>
      <c r="D6" s="345"/>
      <c r="E6" s="2125" t="s">
        <v>290</v>
      </c>
      <c r="F6" s="2126"/>
      <c r="G6" s="2129">
        <v>4</v>
      </c>
      <c r="H6" s="183">
        <f>'Inn-1 Exceptional Performance '!G12</f>
        <v>0</v>
      </c>
      <c r="I6" s="346"/>
      <c r="J6" s="346"/>
      <c r="K6" s="346"/>
      <c r="L6" s="347"/>
    </row>
    <row r="7" spans="1:12" ht="23.25" customHeight="1" x14ac:dyDescent="0.25">
      <c r="A7" s="395"/>
      <c r="B7" s="2133"/>
      <c r="C7" s="397"/>
      <c r="D7" s="345"/>
      <c r="E7" s="2125" t="s">
        <v>291</v>
      </c>
      <c r="F7" s="2126"/>
      <c r="G7" s="2130"/>
      <c r="H7" s="183">
        <f>'Inn-2 Innovative Techniques'!G12</f>
        <v>0</v>
      </c>
      <c r="I7" s="346"/>
      <c r="J7" s="346"/>
      <c r="K7" s="346"/>
      <c r="L7" s="347"/>
    </row>
    <row r="8" spans="1:12" ht="24" customHeight="1" x14ac:dyDescent="0.25">
      <c r="A8" s="398"/>
      <c r="B8" s="2133"/>
      <c r="C8" s="397"/>
      <c r="D8" s="345"/>
      <c r="E8" s="128" t="s">
        <v>82</v>
      </c>
      <c r="F8" s="129"/>
      <c r="G8" s="130">
        <f>SUM(G6:G7)</f>
        <v>4</v>
      </c>
      <c r="H8" s="130">
        <f>MIN(4,SUM(H6:H7))</f>
        <v>0</v>
      </c>
      <c r="I8" s="346"/>
      <c r="J8" s="346"/>
      <c r="K8" s="346"/>
      <c r="L8" s="347"/>
    </row>
    <row r="9" spans="1:12" ht="15" customHeight="1" x14ac:dyDescent="0.25">
      <c r="A9" s="398"/>
      <c r="B9" s="2133"/>
      <c r="C9" s="397"/>
      <c r="D9" s="345"/>
      <c r="E9" s="346"/>
      <c r="F9" s="346"/>
      <c r="G9" s="346"/>
      <c r="H9" s="346"/>
      <c r="I9" s="346"/>
      <c r="J9" s="346"/>
      <c r="K9" s="346"/>
      <c r="L9" s="347"/>
    </row>
    <row r="10" spans="1:12" ht="15" customHeight="1" x14ac:dyDescent="0.25">
      <c r="A10" s="398"/>
      <c r="B10" s="399"/>
      <c r="C10" s="400"/>
      <c r="D10" s="345"/>
      <c r="E10" s="346"/>
      <c r="F10" s="346"/>
      <c r="G10" s="346"/>
      <c r="H10" s="346"/>
      <c r="I10" s="346"/>
      <c r="J10" s="346"/>
      <c r="K10" s="346"/>
      <c r="L10" s="347"/>
    </row>
    <row r="11" spans="1:12" ht="15" customHeight="1" x14ac:dyDescent="0.25">
      <c r="A11" s="398"/>
      <c r="B11" s="399"/>
      <c r="C11" s="400"/>
      <c r="D11" s="345"/>
      <c r="E11" s="346"/>
      <c r="F11" s="346"/>
      <c r="G11" s="346"/>
      <c r="H11" s="346"/>
      <c r="I11" s="346"/>
      <c r="J11" s="346"/>
      <c r="K11" s="346"/>
      <c r="L11" s="347"/>
    </row>
    <row r="12" spans="1:12" ht="15" customHeight="1" x14ac:dyDescent="0.25">
      <c r="A12" s="398"/>
      <c r="B12" s="399"/>
      <c r="C12" s="400"/>
      <c r="D12" s="345"/>
      <c r="E12" s="346"/>
      <c r="F12" s="346"/>
      <c r="G12" s="346"/>
      <c r="H12" s="346"/>
      <c r="I12" s="346"/>
      <c r="J12" s="346"/>
      <c r="K12" s="346"/>
      <c r="L12" s="347"/>
    </row>
    <row r="13" spans="1:12" ht="15" customHeight="1" x14ac:dyDescent="0.25">
      <c r="A13" s="2127"/>
      <c r="B13" s="2128"/>
      <c r="C13" s="401"/>
      <c r="D13" s="348"/>
      <c r="E13" s="349"/>
      <c r="F13" s="349"/>
      <c r="G13" s="349"/>
      <c r="H13" s="349"/>
      <c r="I13" s="349"/>
      <c r="J13" s="349"/>
      <c r="K13" s="349"/>
      <c r="L13" s="350"/>
    </row>
    <row r="14" spans="1:12" ht="15" hidden="1" customHeight="1" x14ac:dyDescent="0.25">
      <c r="A14" s="95"/>
      <c r="B14" s="110"/>
      <c r="C14" s="110"/>
      <c r="D14" s="1"/>
      <c r="E14" s="1"/>
      <c r="F14" s="1"/>
      <c r="G14" s="1"/>
      <c r="H14" s="1"/>
      <c r="I14" s="1"/>
      <c r="J14" s="1"/>
      <c r="K14" s="1"/>
      <c r="L14" s="1"/>
    </row>
    <row r="15" spans="1:12" ht="15" hidden="1" customHeight="1" x14ac:dyDescent="0.25">
      <c r="A15" s="95"/>
      <c r="B15" s="110"/>
      <c r="C15" s="110"/>
      <c r="D15" s="1"/>
      <c r="E15" s="1"/>
      <c r="F15" s="1"/>
      <c r="G15" s="1"/>
      <c r="H15" s="1"/>
      <c r="I15" s="1"/>
      <c r="J15" s="1"/>
      <c r="K15" s="1"/>
      <c r="L15" s="1"/>
    </row>
    <row r="16" spans="1:12" ht="15" hidden="1" customHeight="1" x14ac:dyDescent="0.25">
      <c r="A16" s="95"/>
      <c r="B16" s="110"/>
      <c r="C16" s="110"/>
      <c r="D16" s="1"/>
      <c r="E16" s="1"/>
      <c r="F16" s="1"/>
      <c r="G16" s="1"/>
      <c r="H16" s="1"/>
      <c r="I16" s="1"/>
      <c r="J16" s="1"/>
      <c r="K16" s="1"/>
      <c r="L16" s="1"/>
    </row>
    <row r="17" spans="1:12" ht="15" hidden="1" customHeight="1" x14ac:dyDescent="0.25">
      <c r="A17" s="95"/>
      <c r="B17" s="110"/>
      <c r="C17" s="110"/>
      <c r="D17" s="1"/>
      <c r="E17" s="1"/>
      <c r="F17" s="1"/>
      <c r="G17" s="1"/>
      <c r="H17" s="1"/>
      <c r="I17" s="1"/>
      <c r="J17" s="1"/>
      <c r="K17" s="1"/>
      <c r="L17" s="1"/>
    </row>
    <row r="18" spans="1:12" ht="15" hidden="1" customHeight="1" x14ac:dyDescent="0.25">
      <c r="A18" s="1"/>
      <c r="B18" s="2"/>
      <c r="C18" s="2"/>
      <c r="D18" s="1"/>
      <c r="E18" s="1"/>
      <c r="F18" s="1"/>
      <c r="G18" s="1"/>
      <c r="H18" s="1"/>
      <c r="I18" s="1"/>
      <c r="J18" s="1"/>
      <c r="K18" s="1"/>
      <c r="L18" s="1"/>
    </row>
    <row r="19" spans="1:12" ht="15" hidden="1" customHeight="1" x14ac:dyDescent="0.25">
      <c r="A19" s="1"/>
      <c r="B19" s="2"/>
      <c r="C19" s="2"/>
      <c r="D19" s="1"/>
      <c r="E19" s="1"/>
      <c r="F19" s="1"/>
      <c r="G19" s="1"/>
      <c r="H19" s="1"/>
      <c r="I19" s="1"/>
      <c r="J19" s="1"/>
      <c r="K19" s="1"/>
      <c r="L19" s="1"/>
    </row>
    <row r="20" spans="1:12" ht="15" hidden="1" customHeight="1" x14ac:dyDescent="0.25">
      <c r="A20" s="1"/>
      <c r="B20" s="2"/>
      <c r="C20" s="2"/>
      <c r="D20" s="1"/>
      <c r="E20" s="1"/>
      <c r="F20" s="1"/>
      <c r="G20" s="1"/>
      <c r="H20" s="1"/>
      <c r="I20" s="1"/>
      <c r="J20" s="1"/>
      <c r="K20" s="1"/>
      <c r="L20" s="1"/>
    </row>
    <row r="21" spans="1:12" ht="15" hidden="1" customHeight="1" x14ac:dyDescent="0.25">
      <c r="A21" s="1"/>
      <c r="B21" s="2"/>
      <c r="C21" s="2"/>
      <c r="D21" s="1"/>
      <c r="E21" s="1"/>
      <c r="F21" s="1"/>
      <c r="G21" s="1"/>
      <c r="H21" s="1"/>
      <c r="I21" s="1"/>
      <c r="J21" s="1"/>
      <c r="K21" s="1"/>
      <c r="L21" s="1"/>
    </row>
    <row r="22" spans="1:12" ht="15" hidden="1" customHeight="1" x14ac:dyDescent="0.25">
      <c r="A22" s="1"/>
      <c r="B22" s="2"/>
      <c r="C22" s="2"/>
      <c r="D22" s="1"/>
      <c r="E22" s="1"/>
      <c r="F22" s="1"/>
      <c r="G22" s="1"/>
      <c r="H22" s="1"/>
      <c r="I22" s="1"/>
      <c r="J22" s="1"/>
      <c r="K22" s="1"/>
      <c r="L22" s="1"/>
    </row>
    <row r="23" spans="1:12" ht="15" hidden="1" customHeight="1" x14ac:dyDescent="0.25">
      <c r="A23" s="1"/>
      <c r="B23" s="2"/>
      <c r="C23" s="2"/>
      <c r="D23" s="1"/>
      <c r="E23" s="1"/>
      <c r="F23" s="1"/>
      <c r="G23" s="1"/>
      <c r="H23" s="1"/>
      <c r="I23" s="1"/>
      <c r="J23" s="1"/>
      <c r="K23" s="1"/>
      <c r="L23" s="1"/>
    </row>
    <row r="24" spans="1:12" ht="15" hidden="1" customHeight="1" x14ac:dyDescent="0.25">
      <c r="A24" s="1"/>
      <c r="B24" s="2"/>
      <c r="C24" s="2"/>
      <c r="D24" s="1"/>
      <c r="E24" s="1"/>
      <c r="F24" s="1"/>
      <c r="G24" s="1"/>
      <c r="H24" s="1"/>
      <c r="I24" s="1"/>
      <c r="J24" s="1"/>
      <c r="K24" s="1"/>
      <c r="L24" s="1"/>
    </row>
    <row r="25" spans="1:12" ht="15" hidden="1" customHeight="1" x14ac:dyDescent="0.25">
      <c r="A25" s="1"/>
      <c r="B25" s="2"/>
      <c r="C25" s="2"/>
      <c r="D25" s="1"/>
      <c r="E25" s="1"/>
      <c r="F25" s="1"/>
      <c r="G25" s="1"/>
      <c r="H25" s="1"/>
      <c r="I25" s="1"/>
      <c r="J25" s="1"/>
      <c r="K25" s="1"/>
      <c r="L25" s="1"/>
    </row>
    <row r="26" spans="1:12" ht="15" hidden="1" customHeight="1" x14ac:dyDescent="0.25">
      <c r="A26" s="1"/>
      <c r="B26" s="2"/>
      <c r="C26" s="2"/>
      <c r="D26" s="1"/>
      <c r="E26" s="1"/>
      <c r="F26" s="1"/>
      <c r="G26" s="1"/>
      <c r="H26" s="1"/>
      <c r="I26" s="1"/>
      <c r="J26" s="1"/>
      <c r="K26" s="1"/>
      <c r="L26" s="1"/>
    </row>
    <row r="27" spans="1:12" ht="15" hidden="1" customHeight="1" x14ac:dyDescent="0.25">
      <c r="A27" s="1"/>
      <c r="B27" s="2"/>
      <c r="C27" s="2"/>
      <c r="D27" s="1"/>
      <c r="E27" s="1"/>
      <c r="F27" s="1"/>
      <c r="G27" s="1"/>
      <c r="H27" s="1"/>
      <c r="I27" s="1"/>
      <c r="J27" s="1"/>
      <c r="K27" s="1"/>
      <c r="L27" s="1"/>
    </row>
    <row r="28" spans="1:12" ht="15" hidden="1" customHeight="1" x14ac:dyDescent="0.25">
      <c r="A28" s="1"/>
      <c r="B28" s="2"/>
      <c r="C28" s="2"/>
      <c r="D28" s="1"/>
      <c r="E28" s="1"/>
      <c r="F28" s="1"/>
      <c r="G28" s="1"/>
      <c r="H28" s="1"/>
      <c r="I28" s="1"/>
      <c r="J28" s="1"/>
      <c r="K28" s="1"/>
      <c r="L28" s="1"/>
    </row>
    <row r="29" spans="1:12" ht="15" hidden="1" customHeight="1" x14ac:dyDescent="0.25">
      <c r="A29" s="1"/>
      <c r="B29" s="2"/>
      <c r="C29" s="2"/>
      <c r="D29" s="1"/>
      <c r="E29" s="1"/>
      <c r="F29" s="1"/>
      <c r="G29" s="1"/>
      <c r="H29" s="1"/>
      <c r="I29" s="1"/>
      <c r="J29" s="1"/>
      <c r="K29" s="1"/>
      <c r="L29" s="1"/>
    </row>
    <row r="30" spans="1:12" ht="15" hidden="1" customHeight="1" x14ac:dyDescent="0.25">
      <c r="A30" s="1"/>
      <c r="B30" s="2"/>
      <c r="C30" s="2"/>
      <c r="D30" s="1"/>
      <c r="E30" s="1"/>
      <c r="F30" s="1"/>
      <c r="G30" s="1"/>
      <c r="H30" s="1"/>
      <c r="I30" s="1"/>
      <c r="J30" s="1"/>
      <c r="K30" s="1"/>
      <c r="L30" s="1"/>
    </row>
    <row r="31" spans="1:12" ht="15" hidden="1" customHeight="1" x14ac:dyDescent="0.25">
      <c r="A31" s="1"/>
      <c r="B31" s="2"/>
      <c r="C31" s="2"/>
      <c r="D31" s="1"/>
      <c r="E31" s="1"/>
      <c r="F31" s="1"/>
      <c r="G31" s="1"/>
      <c r="H31" s="1"/>
      <c r="I31" s="1"/>
      <c r="J31" s="1"/>
      <c r="K31" s="1"/>
      <c r="L31" s="1"/>
    </row>
    <row r="32" spans="1:12" ht="15" hidden="1" customHeight="1" x14ac:dyDescent="0.25">
      <c r="A32" s="1"/>
      <c r="B32" s="2"/>
      <c r="C32" s="2"/>
      <c r="D32" s="1"/>
      <c r="E32" s="1"/>
      <c r="F32" s="1"/>
      <c r="G32" s="1"/>
      <c r="H32" s="1"/>
      <c r="I32" s="1"/>
      <c r="J32" s="1"/>
      <c r="K32" s="1"/>
      <c r="L32" s="1"/>
    </row>
    <row r="33" spans="1:12" ht="15" hidden="1" customHeight="1" x14ac:dyDescent="0.25">
      <c r="A33" s="1"/>
      <c r="B33" s="2"/>
      <c r="C33" s="2"/>
      <c r="D33" s="1"/>
      <c r="E33" s="1"/>
      <c r="F33" s="1"/>
      <c r="G33" s="1"/>
      <c r="H33" s="1"/>
      <c r="I33" s="1"/>
      <c r="J33" s="1"/>
      <c r="K33" s="1"/>
      <c r="L33" s="1"/>
    </row>
    <row r="34" spans="1:12" ht="15" hidden="1" customHeight="1" x14ac:dyDescent="0.25">
      <c r="A34" s="1"/>
      <c r="B34" s="2"/>
      <c r="C34" s="2"/>
      <c r="D34" s="1"/>
      <c r="E34" s="1"/>
      <c r="F34" s="1"/>
      <c r="G34" s="1"/>
      <c r="H34" s="1"/>
      <c r="I34" s="1"/>
      <c r="J34" s="1"/>
      <c r="K34" s="1"/>
      <c r="L34" s="1"/>
    </row>
    <row r="35" spans="1:12" ht="15" hidden="1" customHeight="1" x14ac:dyDescent="0.25">
      <c r="A35" s="1"/>
      <c r="B35" s="2"/>
      <c r="C35" s="2"/>
      <c r="D35" s="1"/>
      <c r="E35" s="1"/>
      <c r="F35" s="1"/>
      <c r="G35" s="1"/>
      <c r="H35" s="1"/>
      <c r="I35" s="1"/>
      <c r="J35" s="1"/>
      <c r="K35" s="1"/>
      <c r="L35" s="1"/>
    </row>
    <row r="36" spans="1:12" ht="15" hidden="1" customHeight="1" x14ac:dyDescent="0.25">
      <c r="A36" s="1"/>
      <c r="B36" s="2"/>
      <c r="C36" s="2"/>
      <c r="D36" s="1"/>
      <c r="E36" s="1"/>
      <c r="F36" s="1"/>
      <c r="G36" s="1"/>
      <c r="H36" s="1"/>
      <c r="I36" s="1"/>
      <c r="J36" s="1"/>
      <c r="K36" s="1"/>
      <c r="L36" s="1"/>
    </row>
    <row r="37" spans="1:12" ht="15" hidden="1" customHeight="1" x14ac:dyDescent="0.25">
      <c r="A37" s="1"/>
      <c r="B37" s="2"/>
      <c r="C37" s="2"/>
      <c r="D37" s="1"/>
      <c r="E37" s="1"/>
      <c r="F37" s="1"/>
      <c r="G37" s="1"/>
      <c r="H37" s="1"/>
      <c r="I37" s="1"/>
      <c r="J37" s="1"/>
      <c r="K37" s="1"/>
      <c r="L37" s="1"/>
    </row>
    <row r="38" spans="1:12" ht="15" hidden="1" customHeight="1" x14ac:dyDescent="0.25">
      <c r="A38" s="1"/>
      <c r="B38" s="2"/>
      <c r="C38" s="2"/>
      <c r="D38" s="1"/>
      <c r="E38" s="1"/>
      <c r="F38" s="1"/>
      <c r="G38" s="1"/>
      <c r="H38" s="1"/>
      <c r="I38" s="1"/>
      <c r="J38" s="1"/>
      <c r="K38" s="1"/>
      <c r="L38" s="1"/>
    </row>
    <row r="39" spans="1:12" ht="15" hidden="1" customHeight="1" x14ac:dyDescent="0.25">
      <c r="A39" s="1"/>
      <c r="B39" s="2"/>
      <c r="C39" s="2"/>
      <c r="D39" s="1"/>
      <c r="E39" s="1"/>
      <c r="F39" s="1"/>
      <c r="G39" s="1"/>
      <c r="H39" s="1"/>
      <c r="I39" s="1"/>
      <c r="J39" s="1"/>
      <c r="K39" s="1"/>
      <c r="L39" s="1"/>
    </row>
    <row r="40" spans="1:12" ht="15" hidden="1" customHeight="1" x14ac:dyDescent="0.25">
      <c r="A40" s="1"/>
      <c r="B40" s="2"/>
      <c r="C40" s="2"/>
      <c r="D40" s="1"/>
      <c r="E40" s="1"/>
      <c r="F40" s="1"/>
      <c r="G40" s="1"/>
      <c r="H40" s="1"/>
      <c r="I40" s="1"/>
      <c r="J40" s="1"/>
      <c r="K40" s="1"/>
      <c r="L40" s="1"/>
    </row>
    <row r="41" spans="1:12" ht="15" hidden="1" customHeight="1" x14ac:dyDescent="0.25">
      <c r="A41" s="1"/>
      <c r="B41" s="2"/>
      <c r="C41" s="2"/>
      <c r="D41" s="1"/>
      <c r="E41" s="1"/>
      <c r="F41" s="1"/>
      <c r="G41" s="1"/>
      <c r="H41" s="1"/>
      <c r="I41" s="1"/>
      <c r="J41" s="1"/>
      <c r="K41" s="1"/>
      <c r="L41" s="1"/>
    </row>
    <row r="42" spans="1:12" ht="15" hidden="1" customHeight="1" x14ac:dyDescent="0.25">
      <c r="A42" s="1"/>
      <c r="B42" s="2"/>
      <c r="C42" s="2"/>
      <c r="D42" s="1"/>
      <c r="I42" s="1"/>
      <c r="J42" s="1"/>
      <c r="K42" s="1"/>
      <c r="L42" s="1"/>
    </row>
    <row r="43" spans="1:12" ht="15" hidden="1" customHeight="1" x14ac:dyDescent="0.25">
      <c r="A43" s="1"/>
      <c r="B43" s="2"/>
      <c r="C43" s="2"/>
      <c r="D43" s="1"/>
      <c r="I43" s="1"/>
      <c r="J43" s="1"/>
      <c r="K43" s="1"/>
      <c r="L43" s="1"/>
    </row>
    <row r="44" spans="1:12" ht="15" hidden="1" customHeight="1" x14ac:dyDescent="0.25"/>
    <row r="45" spans="1:12" ht="15" hidden="1" customHeight="1" x14ac:dyDescent="0.25"/>
    <row r="46" spans="1:12" ht="15" hidden="1" customHeight="1" x14ac:dyDescent="0.25"/>
    <row r="47" spans="1:12" ht="15" hidden="1" customHeight="1" x14ac:dyDescent="0.25"/>
    <row r="48" spans="1:12"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sheetData>
  <sheetProtection algorithmName="SHA-512" hashValue="XbBXFSedXzdy/ZLdO/NMbfriTz3LqRQmhwTRKUqcCfQd+sVZ8QDInewK8E24oNmTistKmXhInfCbRB0YCnCFKA==" saltValue="WBQPK6+3K194IjEurmrPMw==" spinCount="100000" sheet="1" objects="1" scenarios="1"/>
  <mergeCells count="9">
    <mergeCell ref="B1:B3"/>
    <mergeCell ref="B4:B9"/>
    <mergeCell ref="E4:F5"/>
    <mergeCell ref="G4:G5"/>
    <mergeCell ref="H4:H5"/>
    <mergeCell ref="E6:F6"/>
    <mergeCell ref="E7:F7"/>
    <mergeCell ref="A13:B13"/>
    <mergeCell ref="G6:G7"/>
  </mergeCells>
  <hyperlinks>
    <hyperlink ref="E6:F6" location="'Inn-1 Exceptional Performance '!B3" tooltip="Inn-1 Exceptional Performance Enhancement" display="Inn-1 Exceptional Performance Enhancement"/>
    <hyperlink ref="E7:F7" location="'Inn-2 Innovative Techniques'!B3" tooltip="Inn-2 Innovative Techniques/Initiatives" display="Inn-2 Innovative Techniques/Initiatives"/>
  </hyperlinks>
  <pageMargins left="0.7" right="0.7" top="0.75" bottom="0.75" header="0.3" footer="0.3"/>
  <pageSetup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C000"/>
  </sheetPr>
  <dimension ref="A1:M38"/>
  <sheetViews>
    <sheetView showRowColHeaders="0" workbookViewId="0">
      <selection activeCell="F14" sqref="F14"/>
    </sheetView>
  </sheetViews>
  <sheetFormatPr defaultColWidth="0" defaultRowHeight="15" zeroHeight="1" x14ac:dyDescent="0.25"/>
  <cols>
    <col min="1" max="1" width="4.7109375" customWidth="1"/>
    <col min="2" max="2" width="18.42578125" customWidth="1"/>
    <col min="3" max="4" width="17.7109375" customWidth="1"/>
    <col min="5" max="6" width="21.7109375" customWidth="1"/>
    <col min="7" max="9" width="17.7109375" customWidth="1"/>
    <col min="10" max="10" width="10.7109375" customWidth="1"/>
    <col min="11" max="11" width="8.5703125" customWidth="1"/>
    <col min="12" max="13" width="0" hidden="1" customWidth="1"/>
    <col min="14" max="16384" width="9.140625" hidden="1"/>
  </cols>
  <sheetData>
    <row r="1" spans="1:13" ht="23.25" x14ac:dyDescent="0.25">
      <c r="A1" s="403" t="s">
        <v>290</v>
      </c>
      <c r="B1" s="404"/>
      <c r="C1" s="404"/>
      <c r="D1" s="404"/>
      <c r="E1" s="404"/>
      <c r="F1" s="404"/>
      <c r="G1" s="421"/>
      <c r="H1" s="421"/>
      <c r="I1" s="421"/>
      <c r="J1" s="421"/>
      <c r="K1" s="421"/>
      <c r="L1" s="42"/>
      <c r="M1" s="42"/>
    </row>
    <row r="2" spans="1:13" x14ac:dyDescent="0.25">
      <c r="A2" s="53"/>
      <c r="B2" s="54"/>
      <c r="C2" s="54"/>
      <c r="D2" s="54"/>
      <c r="E2" s="54"/>
      <c r="F2" s="53"/>
      <c r="G2" s="53"/>
      <c r="H2" s="53"/>
      <c r="I2" s="1426" t="s">
        <v>793</v>
      </c>
      <c r="J2" s="1426"/>
      <c r="K2" s="2136" t="s">
        <v>108</v>
      </c>
      <c r="L2" s="42"/>
      <c r="M2" s="42"/>
    </row>
    <row r="3" spans="1:13" x14ac:dyDescent="0.25">
      <c r="A3" s="53"/>
      <c r="B3" s="54"/>
      <c r="C3" s="54"/>
      <c r="D3" s="54"/>
      <c r="E3" s="54"/>
      <c r="F3" s="53"/>
      <c r="G3" s="53"/>
      <c r="H3" s="53"/>
      <c r="I3" s="1426"/>
      <c r="J3" s="1426"/>
      <c r="K3" s="2136"/>
      <c r="L3" s="42"/>
      <c r="M3" s="42"/>
    </row>
    <row r="4" spans="1:13" x14ac:dyDescent="0.25">
      <c r="A4" s="53"/>
      <c r="B4" s="54"/>
      <c r="C4" s="54"/>
      <c r="D4" s="54"/>
      <c r="E4" s="54"/>
      <c r="F4" s="53"/>
      <c r="G4" s="53"/>
      <c r="H4" s="53"/>
      <c r="I4" s="1427"/>
      <c r="J4" s="1427"/>
      <c r="K4" s="2137"/>
      <c r="L4" s="42"/>
      <c r="M4" s="42"/>
    </row>
    <row r="5" spans="1:13" ht="18" customHeight="1" x14ac:dyDescent="0.25">
      <c r="A5" s="1417" t="s">
        <v>2251</v>
      </c>
      <c r="B5" s="1418"/>
      <c r="C5" s="1418"/>
      <c r="D5" s="1418"/>
      <c r="E5" s="1418"/>
      <c r="F5" s="1418"/>
      <c r="G5" s="1418"/>
      <c r="H5" s="1418"/>
      <c r="I5" s="1418"/>
      <c r="J5" s="1418"/>
      <c r="K5" s="1418"/>
      <c r="L5" s="193"/>
      <c r="M5" s="193"/>
    </row>
    <row r="6" spans="1:13" ht="18" customHeight="1" x14ac:dyDescent="0.25">
      <c r="A6" s="1420"/>
      <c r="B6" s="1421"/>
      <c r="C6" s="1421"/>
      <c r="D6" s="1421"/>
      <c r="E6" s="1421"/>
      <c r="F6" s="1421"/>
      <c r="G6" s="1421"/>
      <c r="H6" s="1421"/>
      <c r="I6" s="1421"/>
      <c r="J6" s="1421"/>
      <c r="K6" s="1421"/>
      <c r="L6" s="195"/>
      <c r="M6" s="195"/>
    </row>
    <row r="7" spans="1:13" ht="18" customHeight="1" x14ac:dyDescent="0.25">
      <c r="A7" s="1423"/>
      <c r="B7" s="1424"/>
      <c r="C7" s="1424"/>
      <c r="D7" s="1424"/>
      <c r="E7" s="1424"/>
      <c r="F7" s="1424"/>
      <c r="G7" s="1424"/>
      <c r="H7" s="1424"/>
      <c r="I7" s="1424"/>
      <c r="J7" s="1424"/>
      <c r="K7" s="1424"/>
      <c r="L7" s="197"/>
      <c r="M7" s="197"/>
    </row>
    <row r="8" spans="1:13" x14ac:dyDescent="0.25">
      <c r="A8" s="53"/>
      <c r="B8" s="54"/>
      <c r="C8" s="54"/>
      <c r="D8" s="54"/>
      <c r="E8" s="54"/>
      <c r="F8" s="53"/>
      <c r="G8" s="53"/>
      <c r="H8" s="53"/>
      <c r="I8" s="53"/>
      <c r="J8" s="53"/>
      <c r="K8" s="53"/>
      <c r="L8" s="53"/>
      <c r="M8" s="53"/>
    </row>
    <row r="9" spans="1:13" ht="15.75" x14ac:dyDescent="0.25">
      <c r="A9" s="422" t="s">
        <v>191</v>
      </c>
      <c r="B9" s="423"/>
      <c r="C9" s="423"/>
      <c r="D9" s="423"/>
      <c r="E9" s="423"/>
      <c r="F9" s="423"/>
      <c r="G9" s="423"/>
      <c r="H9" s="423"/>
      <c r="I9" s="423"/>
      <c r="J9" s="423"/>
      <c r="K9" s="423"/>
      <c r="L9" s="42"/>
      <c r="M9" s="42"/>
    </row>
    <row r="10" spans="1:13" x14ac:dyDescent="0.25">
      <c r="A10" s="53"/>
      <c r="B10" s="54"/>
      <c r="C10" s="54"/>
      <c r="D10" s="54"/>
      <c r="E10" s="54"/>
      <c r="F10" s="53"/>
      <c r="G10" s="53"/>
      <c r="H10" s="53"/>
      <c r="I10" s="53"/>
      <c r="J10" s="53"/>
      <c r="K10" s="53"/>
      <c r="L10" s="42"/>
      <c r="M10" s="42"/>
    </row>
    <row r="11" spans="1:13" ht="21" customHeight="1" x14ac:dyDescent="0.25">
      <c r="A11" s="53"/>
      <c r="B11" s="2138" t="s">
        <v>192</v>
      </c>
      <c r="C11" s="2139"/>
      <c r="D11" s="2139"/>
      <c r="E11" s="2139"/>
      <c r="F11" s="834" t="s">
        <v>157</v>
      </c>
      <c r="G11" s="834" t="s">
        <v>56</v>
      </c>
      <c r="H11" s="424" t="s">
        <v>521</v>
      </c>
      <c r="I11" s="53"/>
      <c r="J11" s="53"/>
      <c r="K11" s="53"/>
      <c r="L11" s="42"/>
      <c r="M11" s="42"/>
    </row>
    <row r="12" spans="1:13" ht="24" customHeight="1" x14ac:dyDescent="0.25">
      <c r="A12" s="53"/>
      <c r="B12" s="1622" t="s">
        <v>107</v>
      </c>
      <c r="C12" s="1623"/>
      <c r="D12" s="1623"/>
      <c r="E12" s="1624"/>
      <c r="F12" s="1143">
        <v>4</v>
      </c>
      <c r="G12" s="1143">
        <f>C36</f>
        <v>0</v>
      </c>
      <c r="H12" s="1143" t="str">
        <f>C37</f>
        <v>No</v>
      </c>
      <c r="I12" s="53"/>
      <c r="J12" s="53"/>
      <c r="K12" s="53"/>
      <c r="L12" s="42"/>
      <c r="M12" s="42"/>
    </row>
    <row r="13" spans="1:13" x14ac:dyDescent="0.25">
      <c r="A13" s="53"/>
      <c r="B13" s="54"/>
      <c r="C13" s="54"/>
      <c r="D13" s="54"/>
      <c r="E13" s="54"/>
      <c r="F13" s="53"/>
      <c r="G13" s="53"/>
      <c r="H13" s="53"/>
      <c r="I13" s="53"/>
      <c r="J13" s="53"/>
      <c r="K13" s="53"/>
      <c r="L13" s="42"/>
      <c r="M13" s="42"/>
    </row>
    <row r="14" spans="1:13" ht="15.75" x14ac:dyDescent="0.25">
      <c r="A14" s="422" t="s">
        <v>265</v>
      </c>
      <c r="B14" s="423"/>
      <c r="C14" s="423"/>
      <c r="D14" s="423"/>
      <c r="E14" s="423"/>
      <c r="F14" s="423"/>
      <c r="G14" s="423"/>
      <c r="H14" s="423"/>
      <c r="I14" s="423"/>
      <c r="J14" s="423"/>
      <c r="K14" s="423"/>
      <c r="L14" s="42"/>
      <c r="M14" s="42"/>
    </row>
    <row r="15" spans="1:13" x14ac:dyDescent="0.25">
      <c r="A15" s="53"/>
      <c r="B15" s="54"/>
      <c r="C15" s="54"/>
      <c r="D15" s="54"/>
      <c r="E15" s="54"/>
      <c r="F15" s="53"/>
      <c r="G15" s="53"/>
      <c r="H15" s="53"/>
      <c r="I15" s="53"/>
      <c r="J15" s="53"/>
      <c r="K15" s="53"/>
      <c r="L15" s="42"/>
      <c r="M15" s="42"/>
    </row>
    <row r="16" spans="1:13" x14ac:dyDescent="0.25">
      <c r="A16" s="53"/>
      <c r="B16" s="1148" t="s">
        <v>107</v>
      </c>
      <c r="C16" s="207"/>
      <c r="D16" s="207"/>
      <c r="E16" s="207"/>
      <c r="F16" s="207"/>
      <c r="G16" s="207"/>
      <c r="H16" s="207"/>
      <c r="I16" s="207"/>
      <c r="J16" s="207"/>
      <c r="K16" s="53"/>
      <c r="L16" s="42"/>
      <c r="M16" s="42"/>
    </row>
    <row r="17" spans="1:13" x14ac:dyDescent="0.25">
      <c r="A17" s="53"/>
      <c r="B17" s="207"/>
      <c r="C17" s="207"/>
      <c r="D17" s="207"/>
      <c r="E17" s="207"/>
      <c r="F17" s="207"/>
      <c r="G17" s="207"/>
      <c r="H17" s="207"/>
      <c r="I17" s="207"/>
      <c r="J17" s="207"/>
      <c r="K17" s="53"/>
      <c r="L17" s="42"/>
      <c r="M17" s="42"/>
    </row>
    <row r="18" spans="1:13" x14ac:dyDescent="0.25">
      <c r="A18" s="53"/>
      <c r="B18" s="426" t="s">
        <v>797</v>
      </c>
      <c r="C18" s="207"/>
      <c r="D18" s="207"/>
      <c r="E18" s="207"/>
      <c r="F18" s="207"/>
      <c r="G18" s="207"/>
      <c r="H18" s="207"/>
      <c r="I18" s="207"/>
      <c r="J18" s="207"/>
      <c r="K18" s="53"/>
      <c r="L18" s="42"/>
      <c r="M18" s="42"/>
    </row>
    <row r="19" spans="1:13" x14ac:dyDescent="0.25">
      <c r="A19" s="53"/>
      <c r="B19" s="524" t="s">
        <v>798</v>
      </c>
      <c r="C19" s="207"/>
      <c r="D19" s="207"/>
      <c r="E19" s="207"/>
      <c r="F19" s="207"/>
      <c r="G19" s="207"/>
      <c r="H19" s="207"/>
      <c r="I19" s="207"/>
      <c r="J19" s="207"/>
      <c r="K19" s="53"/>
      <c r="L19" s="42"/>
      <c r="M19" s="42"/>
    </row>
    <row r="20" spans="1:13" x14ac:dyDescent="0.25">
      <c r="A20" s="53"/>
      <c r="B20" s="524" t="s">
        <v>799</v>
      </c>
      <c r="C20" s="207"/>
      <c r="D20" s="207"/>
      <c r="E20" s="207"/>
      <c r="F20" s="207"/>
      <c r="G20" s="207"/>
      <c r="H20" s="207"/>
      <c r="I20" s="207"/>
      <c r="J20" s="207"/>
      <c r="K20" s="53"/>
      <c r="L20" s="42"/>
      <c r="M20" s="42"/>
    </row>
    <row r="21" spans="1:13" x14ac:dyDescent="0.25">
      <c r="A21" s="53"/>
      <c r="B21" s="524" t="s">
        <v>2177</v>
      </c>
      <c r="C21" s="207"/>
      <c r="D21" s="207"/>
      <c r="E21" s="207"/>
      <c r="F21" s="207"/>
      <c r="G21" s="207"/>
      <c r="H21" s="207"/>
      <c r="I21" s="207"/>
      <c r="J21" s="207"/>
      <c r="K21" s="53"/>
      <c r="L21" s="42"/>
      <c r="M21" s="42"/>
    </row>
    <row r="22" spans="1:13" x14ac:dyDescent="0.25">
      <c r="A22" s="53"/>
      <c r="B22" s="207"/>
      <c r="C22" s="207"/>
      <c r="D22" s="207"/>
      <c r="E22" s="207"/>
      <c r="F22" s="207"/>
      <c r="G22" s="207"/>
      <c r="H22" s="207"/>
      <c r="I22" s="207"/>
      <c r="J22" s="207"/>
      <c r="K22" s="53"/>
      <c r="L22" s="42"/>
      <c r="M22" s="42"/>
    </row>
    <row r="23" spans="1:13" ht="21" customHeight="1" x14ac:dyDescent="0.25">
      <c r="A23" s="53"/>
      <c r="B23" s="2135" t="s">
        <v>795</v>
      </c>
      <c r="C23" s="2135"/>
      <c r="D23" s="2135" t="s">
        <v>796</v>
      </c>
      <c r="E23" s="2135"/>
      <c r="F23" s="2135" t="s">
        <v>2178</v>
      </c>
      <c r="G23" s="2135"/>
      <c r="H23" s="2135"/>
      <c r="I23" s="2135"/>
      <c r="J23" s="53"/>
      <c r="K23" s="53"/>
      <c r="L23" s="42"/>
      <c r="M23" s="42"/>
    </row>
    <row r="24" spans="1:13" ht="18" customHeight="1" x14ac:dyDescent="0.25">
      <c r="A24" s="53"/>
      <c r="B24" s="2140"/>
      <c r="C24" s="2140"/>
      <c r="D24" s="2140" t="s">
        <v>129</v>
      </c>
      <c r="E24" s="2140"/>
      <c r="F24" s="2140"/>
      <c r="G24" s="2140"/>
      <c r="H24" s="2140"/>
      <c r="I24" s="2140"/>
      <c r="J24" s="53"/>
      <c r="K24" s="53"/>
      <c r="L24" s="42">
        <f>IF(AND(B24&lt;&gt;"",D24&lt;&gt;"",D24&lt;&gt;"Select",F24&lt;&gt;""),1,0)</f>
        <v>0</v>
      </c>
      <c r="M24" s="42"/>
    </row>
    <row r="25" spans="1:13" ht="18" customHeight="1" x14ac:dyDescent="0.25">
      <c r="A25" s="53"/>
      <c r="B25" s="2140"/>
      <c r="C25" s="2140"/>
      <c r="D25" s="2140" t="s">
        <v>129</v>
      </c>
      <c r="E25" s="2140"/>
      <c r="F25" s="2140"/>
      <c r="G25" s="2140"/>
      <c r="H25" s="2140"/>
      <c r="I25" s="2140"/>
      <c r="J25" s="53"/>
      <c r="K25" s="53"/>
      <c r="L25" s="42">
        <f t="shared" ref="L25:L27" si="0">IF(AND(B25&lt;&gt;"",D25&lt;&gt;"",D25&lt;&gt;"Select",F25&lt;&gt;""),1,0)</f>
        <v>0</v>
      </c>
      <c r="M25" s="42"/>
    </row>
    <row r="26" spans="1:13" ht="18" customHeight="1" x14ac:dyDescent="0.25">
      <c r="A26" s="53"/>
      <c r="B26" s="2140"/>
      <c r="C26" s="2140"/>
      <c r="D26" s="2140" t="s">
        <v>129</v>
      </c>
      <c r="E26" s="2140"/>
      <c r="F26" s="2140"/>
      <c r="G26" s="2140"/>
      <c r="H26" s="2140"/>
      <c r="I26" s="2140"/>
      <c r="J26" s="53"/>
      <c r="K26" s="53"/>
      <c r="L26" s="42">
        <f t="shared" si="0"/>
        <v>0</v>
      </c>
      <c r="M26" s="42"/>
    </row>
    <row r="27" spans="1:13" ht="18" customHeight="1" x14ac:dyDescent="0.25">
      <c r="A27" s="53"/>
      <c r="B27" s="2140"/>
      <c r="C27" s="2140"/>
      <c r="D27" s="2140" t="s">
        <v>129</v>
      </c>
      <c r="E27" s="2140"/>
      <c r="F27" s="2140"/>
      <c r="G27" s="2140"/>
      <c r="H27" s="2140"/>
      <c r="I27" s="2140"/>
      <c r="J27" s="53"/>
      <c r="K27" s="53"/>
      <c r="L27" s="42">
        <f t="shared" si="0"/>
        <v>0</v>
      </c>
      <c r="M27" s="42"/>
    </row>
    <row r="28" spans="1:13" x14ac:dyDescent="0.25">
      <c r="A28" s="53"/>
      <c r="B28" s="54"/>
      <c r="C28" s="54"/>
      <c r="D28" s="54"/>
      <c r="E28" s="54"/>
      <c r="F28" s="53"/>
      <c r="G28" s="53"/>
      <c r="H28" s="53"/>
      <c r="I28" s="53"/>
      <c r="J28" s="53"/>
      <c r="K28" s="53"/>
      <c r="L28" s="42"/>
      <c r="M28" s="42"/>
    </row>
    <row r="29" spans="1:13" x14ac:dyDescent="0.25">
      <c r="A29" s="53"/>
      <c r="B29" s="54"/>
      <c r="C29" s="54"/>
      <c r="D29" s="54"/>
      <c r="E29" s="53"/>
      <c r="F29" s="53"/>
      <c r="G29" s="53"/>
      <c r="H29" s="53"/>
      <c r="I29" s="53"/>
      <c r="J29" s="53"/>
      <c r="K29" s="53"/>
      <c r="L29" s="42"/>
      <c r="M29" s="42"/>
    </row>
    <row r="30" spans="1:13" ht="18" customHeight="1" x14ac:dyDescent="0.25">
      <c r="A30" s="422" t="s">
        <v>200</v>
      </c>
      <c r="B30" s="423"/>
      <c r="C30" s="423"/>
      <c r="D30" s="423"/>
      <c r="E30" s="423"/>
      <c r="F30" s="423"/>
      <c r="G30" s="423"/>
      <c r="H30" s="423"/>
      <c r="I30" s="423"/>
      <c r="J30" s="423"/>
      <c r="K30" s="423"/>
      <c r="L30" s="42"/>
      <c r="M30" s="42"/>
    </row>
    <row r="31" spans="1:13" x14ac:dyDescent="0.25">
      <c r="A31" s="53"/>
      <c r="B31" s="54"/>
      <c r="C31" s="54"/>
      <c r="D31" s="54"/>
      <c r="E31" s="53"/>
      <c r="F31" s="53"/>
      <c r="G31" s="53"/>
      <c r="H31" s="53"/>
      <c r="I31" s="53"/>
      <c r="J31" s="53"/>
      <c r="K31" s="53"/>
      <c r="L31" s="42"/>
      <c r="M31" s="42"/>
    </row>
    <row r="32" spans="1:13" x14ac:dyDescent="0.25">
      <c r="A32" s="53"/>
      <c r="B32" s="2049" t="s">
        <v>800</v>
      </c>
      <c r="C32" s="2049"/>
      <c r="D32" s="2049"/>
      <c r="E32" s="2049"/>
      <c r="F32" s="2049"/>
      <c r="G32" s="2049"/>
      <c r="H32" s="53"/>
      <c r="I32" s="53"/>
      <c r="J32" s="53"/>
      <c r="K32" s="53"/>
      <c r="L32" s="42"/>
      <c r="M32" s="42"/>
    </row>
    <row r="33" spans="1:13" x14ac:dyDescent="0.25">
      <c r="A33" s="53"/>
      <c r="B33" s="54"/>
      <c r="C33" s="54"/>
      <c r="D33" s="54"/>
      <c r="E33" s="53"/>
      <c r="F33" s="53"/>
      <c r="G33" s="53"/>
      <c r="H33" s="53"/>
      <c r="I33" s="53"/>
      <c r="J33" s="53"/>
      <c r="K33" s="53"/>
      <c r="L33" s="42"/>
      <c r="M33" s="42"/>
    </row>
    <row r="34" spans="1:13" ht="18" customHeight="1" x14ac:dyDescent="0.25">
      <c r="A34" s="422" t="s">
        <v>25</v>
      </c>
      <c r="B34" s="423"/>
      <c r="C34" s="423"/>
      <c r="D34" s="423"/>
      <c r="E34" s="423"/>
      <c r="F34" s="423"/>
      <c r="G34" s="423"/>
      <c r="H34" s="423"/>
      <c r="I34" s="423"/>
      <c r="J34" s="423"/>
      <c r="K34" s="423"/>
      <c r="L34" s="42"/>
      <c r="M34" s="42"/>
    </row>
    <row r="35" spans="1:13" x14ac:dyDescent="0.25">
      <c r="A35" s="53"/>
      <c r="B35" s="54"/>
      <c r="C35" s="54"/>
      <c r="D35" s="54"/>
      <c r="E35" s="54"/>
      <c r="F35" s="53"/>
      <c r="G35" s="53"/>
      <c r="H35" s="53"/>
      <c r="I35" s="53"/>
      <c r="J35" s="53"/>
      <c r="K35" s="53"/>
      <c r="L35" s="42"/>
      <c r="M35" s="42"/>
    </row>
    <row r="36" spans="1:13" ht="18" customHeight="1" x14ac:dyDescent="0.25">
      <c r="A36" s="53"/>
      <c r="B36" s="425" t="s">
        <v>56</v>
      </c>
      <c r="C36" s="1147">
        <f>SUM(L24:L27)</f>
        <v>0</v>
      </c>
      <c r="D36" s="54"/>
      <c r="E36" s="53"/>
      <c r="F36" s="53"/>
      <c r="G36" s="53"/>
      <c r="H36" s="53"/>
      <c r="I36" s="53"/>
      <c r="J36" s="53"/>
      <c r="K36" s="53"/>
      <c r="L36" s="42"/>
      <c r="M36" s="42"/>
    </row>
    <row r="37" spans="1:13" ht="18" customHeight="1" x14ac:dyDescent="0.25">
      <c r="A37" s="53"/>
      <c r="B37" s="425" t="s">
        <v>521</v>
      </c>
      <c r="C37" s="203" t="str">
        <f>IF(C36&gt;0,"Yes","No")</f>
        <v>No</v>
      </c>
      <c r="D37" s="54"/>
      <c r="E37" s="54"/>
      <c r="F37" s="53"/>
      <c r="G37" s="53"/>
      <c r="H37" s="53"/>
      <c r="I37" s="53"/>
      <c r="J37" s="53"/>
      <c r="K37" s="53"/>
      <c r="L37" s="42"/>
      <c r="M37" s="42"/>
    </row>
    <row r="38" spans="1:13" x14ac:dyDescent="0.25">
      <c r="A38" s="53"/>
      <c r="B38" s="54"/>
      <c r="C38" s="54"/>
      <c r="D38" s="54"/>
      <c r="E38" s="54"/>
      <c r="F38" s="53"/>
      <c r="G38" s="53"/>
      <c r="H38" s="53"/>
      <c r="I38" s="53"/>
      <c r="J38" s="53"/>
      <c r="K38" s="53"/>
      <c r="L38" s="42"/>
      <c r="M38" s="42"/>
    </row>
  </sheetData>
  <sheetProtection algorithmName="SHA-512" hashValue="HmGAmKSVu5cPzYaw8QkCsmQaVDlaP697ToNyyw8fFag42ZUiqeAMIuNuB33kbj0fEz9ANVlY9pBZkgdH8ZlJRw==" saltValue="XkFzvWQ6QZqQ8SiqqfHfMQ==" spinCount="100000" sheet="1" objects="1" scenarios="1"/>
  <mergeCells count="21">
    <mergeCell ref="B32:G32"/>
    <mergeCell ref="B26:C26"/>
    <mergeCell ref="D26:E26"/>
    <mergeCell ref="F26:I26"/>
    <mergeCell ref="B27:C27"/>
    <mergeCell ref="D27:E27"/>
    <mergeCell ref="F27:I27"/>
    <mergeCell ref="B24:C24"/>
    <mergeCell ref="D24:E24"/>
    <mergeCell ref="F24:I24"/>
    <mergeCell ref="B25:C25"/>
    <mergeCell ref="D25:E25"/>
    <mergeCell ref="F25:I25"/>
    <mergeCell ref="B23:C23"/>
    <mergeCell ref="D23:E23"/>
    <mergeCell ref="F23:I23"/>
    <mergeCell ref="I2:J4"/>
    <mergeCell ref="K2:K4"/>
    <mergeCell ref="A5:K7"/>
    <mergeCell ref="B11:E11"/>
    <mergeCell ref="B12:E12"/>
  </mergeCells>
  <dataValidations count="1">
    <dataValidation type="list" allowBlank="1" showInputMessage="1" showErrorMessage="1" sqref="D24:E27">
      <formula1>"Select,Exceeds requirements by an additional increment,Significantly exceeds the credit requirement,reaches a higher number of points than what is available in the credit"</formula1>
    </dataValidation>
  </dataValidations>
  <hyperlinks>
    <hyperlink ref="K2" location="'Inn-2 Innovative Techniques'!A1" tooltip="Inn-2" display="Inn-2"/>
    <hyperlink ref="K2:K4" location="'Inn-2 Innovative Techniques'!B3" tooltip="Inn-2" display="Inn-2"/>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FFC000"/>
  </sheetPr>
  <dimension ref="A1:N106"/>
  <sheetViews>
    <sheetView showRowColHeaders="0" zoomScaleNormal="100" workbookViewId="0">
      <pane ySplit="8" topLeftCell="A9" activePane="bottomLeft" state="frozen"/>
      <selection activeCell="E21" sqref="E21"/>
      <selection pane="bottomLeft" activeCell="F22" sqref="F22"/>
    </sheetView>
  </sheetViews>
  <sheetFormatPr defaultColWidth="0" defaultRowHeight="15" customHeight="1" zeroHeight="1" x14ac:dyDescent="0.25"/>
  <cols>
    <col min="1" max="1" width="4.7109375" style="42" customWidth="1"/>
    <col min="2" max="2" width="18.42578125" style="42" customWidth="1"/>
    <col min="3" max="3" width="17" style="42" customWidth="1"/>
    <col min="4" max="5" width="18.42578125" style="42" customWidth="1"/>
    <col min="6" max="8" width="17.85546875" style="42" customWidth="1"/>
    <col min="9" max="9" width="16.7109375" style="42" customWidth="1"/>
    <col min="10" max="10" width="10.7109375" style="42" customWidth="1"/>
    <col min="11" max="11" width="8.7109375" style="42" customWidth="1"/>
    <col min="12" max="12" width="9" style="42" hidden="1" customWidth="1"/>
    <col min="13" max="16384" width="9.140625" style="42" hidden="1"/>
  </cols>
  <sheetData>
    <row r="1" spans="1:14" ht="25.5" customHeight="1" x14ac:dyDescent="0.25">
      <c r="A1" s="403" t="s">
        <v>291</v>
      </c>
      <c r="B1" s="404"/>
      <c r="C1" s="404"/>
      <c r="D1" s="404"/>
      <c r="E1" s="404"/>
      <c r="F1" s="404"/>
      <c r="G1" s="421"/>
      <c r="H1" s="421"/>
      <c r="I1" s="421"/>
      <c r="J1" s="421"/>
      <c r="K1" s="421"/>
    </row>
    <row r="2" spans="1:14" ht="15" customHeight="1" x14ac:dyDescent="0.25">
      <c r="A2" s="53"/>
      <c r="B2" s="54"/>
      <c r="C2" s="54"/>
      <c r="D2" s="54"/>
      <c r="E2" s="54"/>
      <c r="F2" s="53"/>
      <c r="G2" s="53"/>
      <c r="H2" s="53"/>
      <c r="I2" s="1426" t="s">
        <v>793</v>
      </c>
      <c r="J2" s="1426"/>
      <c r="K2" s="2136" t="s">
        <v>106</v>
      </c>
    </row>
    <row r="3" spans="1:14" ht="15" customHeight="1" x14ac:dyDescent="0.25">
      <c r="A3" s="53"/>
      <c r="B3" s="54"/>
      <c r="C3" s="54"/>
      <c r="D3" s="54"/>
      <c r="E3" s="54"/>
      <c r="F3" s="53"/>
      <c r="G3" s="53"/>
      <c r="H3" s="53"/>
      <c r="I3" s="1426"/>
      <c r="J3" s="1426"/>
      <c r="K3" s="2136"/>
    </row>
    <row r="4" spans="1:14" ht="15" customHeight="1" x14ac:dyDescent="0.25">
      <c r="A4" s="53"/>
      <c r="B4" s="54"/>
      <c r="C4" s="54"/>
      <c r="D4" s="54"/>
      <c r="E4" s="54"/>
      <c r="F4" s="53"/>
      <c r="G4" s="53"/>
      <c r="H4" s="53"/>
      <c r="I4" s="1427"/>
      <c r="J4" s="1427"/>
      <c r="K4" s="2137"/>
    </row>
    <row r="5" spans="1:14" ht="18" customHeight="1" x14ac:dyDescent="0.25">
      <c r="A5" s="1417" t="s">
        <v>2252</v>
      </c>
      <c r="B5" s="1418"/>
      <c r="C5" s="1418"/>
      <c r="D5" s="1418"/>
      <c r="E5" s="1418"/>
      <c r="F5" s="1418"/>
      <c r="G5" s="1418"/>
      <c r="H5" s="1418"/>
      <c r="I5" s="1418"/>
      <c r="J5" s="1418"/>
      <c r="K5" s="1418"/>
      <c r="L5" s="193"/>
      <c r="M5" s="193"/>
      <c r="N5" s="194"/>
    </row>
    <row r="6" spans="1:14" ht="18" customHeight="1" x14ac:dyDescent="0.25">
      <c r="A6" s="1420"/>
      <c r="B6" s="1421"/>
      <c r="C6" s="1421"/>
      <c r="D6" s="1421"/>
      <c r="E6" s="1421"/>
      <c r="F6" s="1421"/>
      <c r="G6" s="1421"/>
      <c r="H6" s="1421"/>
      <c r="I6" s="1421"/>
      <c r="J6" s="1421"/>
      <c r="K6" s="1421"/>
      <c r="L6" s="195"/>
      <c r="M6" s="195"/>
      <c r="N6" s="196"/>
    </row>
    <row r="7" spans="1:14" ht="17.25" customHeight="1" x14ac:dyDescent="0.25">
      <c r="A7" s="1423"/>
      <c r="B7" s="1424"/>
      <c r="C7" s="1424"/>
      <c r="D7" s="1424"/>
      <c r="E7" s="1424"/>
      <c r="F7" s="1424"/>
      <c r="G7" s="1424"/>
      <c r="H7" s="1424"/>
      <c r="I7" s="1424"/>
      <c r="J7" s="1424"/>
      <c r="K7" s="1424"/>
      <c r="L7" s="197"/>
      <c r="M7" s="197"/>
      <c r="N7" s="198"/>
    </row>
    <row r="8" spans="1:14" ht="12" customHeight="1" x14ac:dyDescent="0.25">
      <c r="A8" s="53"/>
      <c r="B8" s="54"/>
      <c r="C8" s="54"/>
      <c r="D8" s="54"/>
      <c r="E8" s="54"/>
      <c r="F8" s="53"/>
      <c r="G8" s="53"/>
      <c r="H8" s="53"/>
      <c r="I8" s="53"/>
      <c r="J8" s="53"/>
      <c r="K8" s="53"/>
      <c r="L8" s="53"/>
      <c r="M8" s="53"/>
      <c r="N8" s="53"/>
    </row>
    <row r="9" spans="1:14" ht="18" customHeight="1" x14ac:dyDescent="0.25">
      <c r="A9" s="422" t="s">
        <v>191</v>
      </c>
      <c r="B9" s="423"/>
      <c r="C9" s="423"/>
      <c r="D9" s="423"/>
      <c r="E9" s="423"/>
      <c r="F9" s="423"/>
      <c r="G9" s="423"/>
      <c r="H9" s="423"/>
      <c r="I9" s="423"/>
      <c r="J9" s="423"/>
      <c r="K9" s="423"/>
    </row>
    <row r="10" spans="1:14" ht="16.5" customHeight="1" x14ac:dyDescent="0.25">
      <c r="A10" s="53"/>
      <c r="B10" s="54"/>
      <c r="C10" s="54"/>
      <c r="D10" s="54"/>
      <c r="E10" s="54"/>
      <c r="F10" s="53"/>
      <c r="G10" s="53"/>
      <c r="H10" s="53"/>
      <c r="I10" s="53"/>
      <c r="J10" s="53"/>
      <c r="K10" s="53"/>
    </row>
    <row r="11" spans="1:14" ht="19.5" customHeight="1" x14ac:dyDescent="0.25">
      <c r="A11" s="53"/>
      <c r="B11" s="2138" t="s">
        <v>192</v>
      </c>
      <c r="C11" s="2139"/>
      <c r="D11" s="2139"/>
      <c r="E11" s="2139"/>
      <c r="F11" s="834" t="s">
        <v>157</v>
      </c>
      <c r="G11" s="834" t="s">
        <v>56</v>
      </c>
      <c r="H11" s="424" t="s">
        <v>521</v>
      </c>
      <c r="I11" s="53"/>
      <c r="J11" s="53"/>
      <c r="K11" s="53"/>
    </row>
    <row r="12" spans="1:14" ht="27" customHeight="1" x14ac:dyDescent="0.25">
      <c r="A12" s="53"/>
      <c r="B12" s="1622" t="s">
        <v>2260</v>
      </c>
      <c r="C12" s="1623"/>
      <c r="D12" s="1623"/>
      <c r="E12" s="1624"/>
      <c r="F12" s="330">
        <v>4</v>
      </c>
      <c r="G12" s="330">
        <f>C63</f>
        <v>0</v>
      </c>
      <c r="H12" s="330" t="str">
        <f>C64</f>
        <v>No</v>
      </c>
      <c r="I12" s="53"/>
      <c r="J12" s="53"/>
      <c r="K12" s="53"/>
    </row>
    <row r="13" spans="1:14" ht="16.5" customHeight="1" x14ac:dyDescent="0.25">
      <c r="A13" s="53"/>
      <c r="B13" s="54"/>
      <c r="C13" s="54"/>
      <c r="D13" s="54"/>
      <c r="E13" s="54"/>
      <c r="F13" s="53"/>
      <c r="G13" s="53"/>
      <c r="H13" s="53"/>
      <c r="I13" s="53"/>
      <c r="J13" s="53"/>
      <c r="K13" s="53"/>
    </row>
    <row r="14" spans="1:14" ht="18" customHeight="1" x14ac:dyDescent="0.25">
      <c r="A14" s="422" t="s">
        <v>265</v>
      </c>
      <c r="B14" s="423"/>
      <c r="C14" s="423"/>
      <c r="D14" s="423"/>
      <c r="E14" s="423"/>
      <c r="F14" s="423"/>
      <c r="G14" s="423"/>
      <c r="H14" s="423"/>
      <c r="I14" s="423"/>
      <c r="J14" s="423"/>
      <c r="K14" s="423"/>
    </row>
    <row r="15" spans="1:14" x14ac:dyDescent="0.25">
      <c r="A15" s="53"/>
      <c r="B15" s="54"/>
      <c r="C15" s="54"/>
      <c r="D15" s="54"/>
      <c r="E15" s="54"/>
      <c r="F15" s="53"/>
      <c r="G15" s="53"/>
      <c r="H15" s="53"/>
      <c r="I15" s="53"/>
      <c r="J15" s="53"/>
      <c r="K15" s="53"/>
    </row>
    <row r="16" spans="1:14" x14ac:dyDescent="0.25">
      <c r="A16" s="53"/>
      <c r="B16" s="892" t="s">
        <v>1087</v>
      </c>
      <c r="C16" s="54"/>
      <c r="D16" s="54"/>
      <c r="E16" s="54"/>
      <c r="F16" s="53"/>
      <c r="G16" s="53"/>
      <c r="H16" s="53"/>
      <c r="I16" s="53"/>
      <c r="J16" s="53"/>
      <c r="K16" s="53"/>
    </row>
    <row r="17" spans="1:12" ht="12.75" customHeight="1" x14ac:dyDescent="0.25">
      <c r="A17" s="53"/>
      <c r="B17" s="634"/>
      <c r="C17" s="54"/>
      <c r="D17" s="54"/>
      <c r="E17" s="54"/>
      <c r="F17" s="53"/>
      <c r="G17" s="53"/>
      <c r="H17" s="53"/>
      <c r="I17" s="53"/>
      <c r="J17" s="53"/>
      <c r="K17" s="53"/>
    </row>
    <row r="18" spans="1:12" x14ac:dyDescent="0.25">
      <c r="A18" s="53"/>
      <c r="B18" s="779" t="s">
        <v>794</v>
      </c>
      <c r="C18" s="757"/>
      <c r="D18" s="757"/>
      <c r="E18" s="757"/>
      <c r="F18" s="757"/>
      <c r="G18" s="757"/>
      <c r="H18" s="757"/>
      <c r="I18" s="757"/>
      <c r="J18" s="758"/>
      <c r="K18" s="53"/>
    </row>
    <row r="19" spans="1:12" x14ac:dyDescent="0.25">
      <c r="A19" s="53"/>
      <c r="B19" s="896" t="s">
        <v>801</v>
      </c>
      <c r="C19" s="756"/>
      <c r="D19" s="756"/>
      <c r="E19" s="756"/>
      <c r="F19" s="756"/>
      <c r="G19" s="756"/>
      <c r="H19" s="756"/>
      <c r="I19" s="756"/>
      <c r="J19" s="759"/>
      <c r="K19" s="53"/>
    </row>
    <row r="20" spans="1:12" x14ac:dyDescent="0.25">
      <c r="A20" s="53"/>
      <c r="B20" s="748" t="s">
        <v>802</v>
      </c>
      <c r="C20" s="760"/>
      <c r="D20" s="760"/>
      <c r="E20" s="760"/>
      <c r="F20" s="760"/>
      <c r="G20" s="760"/>
      <c r="H20" s="760"/>
      <c r="I20" s="760"/>
      <c r="J20" s="761"/>
      <c r="K20" s="53"/>
    </row>
    <row r="21" spans="1:12" ht="14.25" customHeight="1" x14ac:dyDescent="0.25">
      <c r="A21" s="53"/>
      <c r="B21" s="207"/>
      <c r="C21" s="207"/>
      <c r="D21" s="207"/>
      <c r="E21" s="207"/>
      <c r="F21" s="207"/>
      <c r="G21" s="207"/>
      <c r="H21" s="207"/>
      <c r="I21" s="207"/>
      <c r="J21" s="207"/>
      <c r="K21" s="53"/>
    </row>
    <row r="22" spans="1:12" ht="14.25" customHeight="1" x14ac:dyDescent="0.25">
      <c r="A22" s="53"/>
      <c r="B22" s="207" t="s">
        <v>2253</v>
      </c>
      <c r="C22" s="207"/>
      <c r="D22" s="207"/>
      <c r="E22" s="207"/>
      <c r="F22" s="207"/>
      <c r="G22" s="207"/>
      <c r="H22" s="207"/>
      <c r="I22" s="207"/>
      <c r="J22" s="207"/>
      <c r="K22" s="53"/>
    </row>
    <row r="23" spans="1:12" ht="19.5" customHeight="1" x14ac:dyDescent="0.25">
      <c r="A23" s="53"/>
      <c r="B23" s="2141" t="s">
        <v>2254</v>
      </c>
      <c r="C23" s="2141"/>
      <c r="D23" s="2142"/>
      <c r="E23" s="2142"/>
      <c r="F23" s="2142"/>
      <c r="G23" s="2142"/>
      <c r="H23" s="2142"/>
      <c r="I23" s="53"/>
      <c r="J23" s="53"/>
      <c r="K23" s="53"/>
    </row>
    <row r="24" spans="1:12" ht="36" customHeight="1" x14ac:dyDescent="0.25">
      <c r="A24" s="53"/>
      <c r="B24" s="2141" t="s">
        <v>2255</v>
      </c>
      <c r="C24" s="2141"/>
      <c r="D24" s="2142"/>
      <c r="E24" s="2142"/>
      <c r="F24" s="2142"/>
      <c r="G24" s="2142"/>
      <c r="H24" s="2142"/>
      <c r="I24" s="53"/>
      <c r="J24" s="53"/>
      <c r="K24" s="53"/>
    </row>
    <row r="25" spans="1:12" ht="36" customHeight="1" x14ac:dyDescent="0.25">
      <c r="A25" s="53"/>
      <c r="B25" s="2141" t="s">
        <v>2256</v>
      </c>
      <c r="C25" s="2141"/>
      <c r="D25" s="2142"/>
      <c r="E25" s="2142"/>
      <c r="F25" s="2142"/>
      <c r="G25" s="2142"/>
      <c r="H25" s="2142"/>
      <c r="I25" s="53"/>
      <c r="J25" s="53"/>
      <c r="K25" s="53"/>
      <c r="L25" s="42">
        <f>IF(AND(D23&lt;&gt;"",D24&lt;&gt;"",D25&lt;&gt;""),1,0)</f>
        <v>0</v>
      </c>
    </row>
    <row r="26" spans="1:12" ht="16.5" customHeight="1" x14ac:dyDescent="0.25">
      <c r="A26" s="53"/>
      <c r="B26" s="53"/>
      <c r="C26" s="53"/>
      <c r="D26" s="53"/>
      <c r="E26" s="53"/>
      <c r="F26" s="53"/>
      <c r="G26" s="53"/>
      <c r="H26" s="53"/>
      <c r="I26" s="53"/>
      <c r="J26" s="53"/>
      <c r="K26" s="53"/>
    </row>
    <row r="27" spans="1:12" ht="14.25" customHeight="1" x14ac:dyDescent="0.25">
      <c r="A27" s="53"/>
      <c r="B27" s="207" t="s">
        <v>2257</v>
      </c>
      <c r="C27" s="207"/>
      <c r="D27" s="207"/>
      <c r="E27" s="207"/>
      <c r="F27" s="207"/>
      <c r="G27" s="207"/>
      <c r="H27" s="207"/>
      <c r="I27" s="207"/>
      <c r="J27" s="207"/>
      <c r="K27" s="53"/>
    </row>
    <row r="28" spans="1:12" ht="19.5" customHeight="1" x14ac:dyDescent="0.25">
      <c r="A28" s="53"/>
      <c r="B28" s="2141" t="s">
        <v>2254</v>
      </c>
      <c r="C28" s="2141"/>
      <c r="D28" s="2142"/>
      <c r="E28" s="2142"/>
      <c r="F28" s="2142"/>
      <c r="G28" s="2142"/>
      <c r="H28" s="2142"/>
      <c r="I28" s="53"/>
      <c r="J28" s="53"/>
      <c r="K28" s="53"/>
    </row>
    <row r="29" spans="1:12" ht="36" customHeight="1" x14ac:dyDescent="0.25">
      <c r="A29" s="53"/>
      <c r="B29" s="2141" t="s">
        <v>2255</v>
      </c>
      <c r="C29" s="2141"/>
      <c r="D29" s="2142"/>
      <c r="E29" s="2142"/>
      <c r="F29" s="2142"/>
      <c r="G29" s="2142"/>
      <c r="H29" s="2142"/>
      <c r="I29" s="53"/>
      <c r="J29" s="53"/>
      <c r="K29" s="53"/>
    </row>
    <row r="30" spans="1:12" ht="36" customHeight="1" x14ac:dyDescent="0.25">
      <c r="A30" s="53"/>
      <c r="B30" s="2141" t="s">
        <v>2256</v>
      </c>
      <c r="C30" s="2141"/>
      <c r="D30" s="2142"/>
      <c r="E30" s="2142"/>
      <c r="F30" s="2142"/>
      <c r="G30" s="2142"/>
      <c r="H30" s="2142"/>
      <c r="I30" s="53"/>
      <c r="J30" s="53"/>
      <c r="K30" s="53"/>
      <c r="L30" s="42">
        <f>IF(AND(D28&lt;&gt;"",D29&lt;&gt;"",D30&lt;&gt;""),1,0)</f>
        <v>0</v>
      </c>
    </row>
    <row r="31" spans="1:12" ht="16.5" customHeight="1" x14ac:dyDescent="0.25">
      <c r="A31" s="53"/>
      <c r="B31" s="53"/>
      <c r="C31" s="53"/>
      <c r="D31" s="53"/>
      <c r="E31" s="53"/>
      <c r="F31" s="53"/>
      <c r="G31" s="53"/>
      <c r="H31" s="53"/>
      <c r="I31" s="53"/>
      <c r="J31" s="53"/>
      <c r="K31" s="53"/>
    </row>
    <row r="32" spans="1:12" ht="14.25" customHeight="1" x14ac:dyDescent="0.25">
      <c r="A32" s="53"/>
      <c r="B32" s="207" t="s">
        <v>2258</v>
      </c>
      <c r="C32" s="207"/>
      <c r="D32" s="207"/>
      <c r="E32" s="207"/>
      <c r="F32" s="207"/>
      <c r="G32" s="207"/>
      <c r="H32" s="207"/>
      <c r="I32" s="207"/>
      <c r="J32" s="207"/>
      <c r="K32" s="53"/>
    </row>
    <row r="33" spans="1:13" ht="19.5" customHeight="1" x14ac:dyDescent="0.25">
      <c r="A33" s="53"/>
      <c r="B33" s="2141" t="s">
        <v>2254</v>
      </c>
      <c r="C33" s="2141"/>
      <c r="D33" s="2142"/>
      <c r="E33" s="2142"/>
      <c r="F33" s="2142"/>
      <c r="G33" s="2142"/>
      <c r="H33" s="2142"/>
      <c r="I33" s="53"/>
      <c r="J33" s="53"/>
      <c r="K33" s="53"/>
    </row>
    <row r="34" spans="1:13" ht="36" customHeight="1" x14ac:dyDescent="0.25">
      <c r="A34" s="53"/>
      <c r="B34" s="2141" t="s">
        <v>2255</v>
      </c>
      <c r="C34" s="2141"/>
      <c r="D34" s="2142"/>
      <c r="E34" s="2142"/>
      <c r="F34" s="2142"/>
      <c r="G34" s="2142"/>
      <c r="H34" s="2142"/>
      <c r="I34" s="53"/>
      <c r="J34" s="53"/>
      <c r="K34" s="53"/>
    </row>
    <row r="35" spans="1:13" ht="36" customHeight="1" x14ac:dyDescent="0.25">
      <c r="A35" s="53"/>
      <c r="B35" s="2141" t="s">
        <v>2256</v>
      </c>
      <c r="C35" s="2141"/>
      <c r="D35" s="2142"/>
      <c r="E35" s="2142"/>
      <c r="F35" s="2142"/>
      <c r="G35" s="2142"/>
      <c r="H35" s="2142"/>
      <c r="I35" s="53"/>
      <c r="J35" s="53"/>
      <c r="K35" s="53"/>
      <c r="L35" s="42">
        <f>IF(AND(D33&lt;&gt;"",D34&lt;&gt;"",D35&lt;&gt;""),1,0)</f>
        <v>0</v>
      </c>
    </row>
    <row r="36" spans="1:13" ht="16.5" customHeight="1" x14ac:dyDescent="0.25">
      <c r="A36" s="53"/>
      <c r="B36" s="53"/>
      <c r="C36" s="53"/>
      <c r="D36" s="53"/>
      <c r="E36" s="53"/>
      <c r="F36" s="53"/>
      <c r="G36" s="53"/>
      <c r="H36" s="53"/>
      <c r="I36" s="53"/>
      <c r="J36" s="53"/>
      <c r="K36" s="53"/>
    </row>
    <row r="37" spans="1:13" ht="14.25" customHeight="1" x14ac:dyDescent="0.25">
      <c r="A37" s="53"/>
      <c r="B37" s="207" t="s">
        <v>2259</v>
      </c>
      <c r="C37" s="207"/>
      <c r="D37" s="207"/>
      <c r="E37" s="207"/>
      <c r="F37" s="207"/>
      <c r="G37" s="207"/>
      <c r="H37" s="207"/>
      <c r="I37" s="207"/>
      <c r="J37" s="207"/>
      <c r="K37" s="53"/>
    </row>
    <row r="38" spans="1:13" ht="19.5" customHeight="1" x14ac:dyDescent="0.25">
      <c r="A38" s="53"/>
      <c r="B38" s="2141" t="s">
        <v>2254</v>
      </c>
      <c r="C38" s="2141"/>
      <c r="D38" s="2142"/>
      <c r="E38" s="2142"/>
      <c r="F38" s="2142"/>
      <c r="G38" s="2142"/>
      <c r="H38" s="2142"/>
      <c r="I38" s="53"/>
      <c r="J38" s="53"/>
      <c r="K38" s="53"/>
    </row>
    <row r="39" spans="1:13" ht="36" customHeight="1" x14ac:dyDescent="0.25">
      <c r="A39" s="53"/>
      <c r="B39" s="2141" t="s">
        <v>2255</v>
      </c>
      <c r="C39" s="2141"/>
      <c r="D39" s="2142"/>
      <c r="E39" s="2142"/>
      <c r="F39" s="2142"/>
      <c r="G39" s="2142"/>
      <c r="H39" s="2142"/>
      <c r="I39" s="53"/>
      <c r="J39" s="53"/>
      <c r="K39" s="53"/>
    </row>
    <row r="40" spans="1:13" ht="36" customHeight="1" x14ac:dyDescent="0.25">
      <c r="A40" s="53"/>
      <c r="B40" s="2141" t="s">
        <v>2256</v>
      </c>
      <c r="C40" s="2141"/>
      <c r="D40" s="2142"/>
      <c r="E40" s="2142"/>
      <c r="F40" s="2142"/>
      <c r="G40" s="2142"/>
      <c r="H40" s="2142"/>
      <c r="I40" s="53"/>
      <c r="J40" s="53"/>
      <c r="K40" s="53"/>
      <c r="L40" s="42">
        <f>IF(AND(D38&lt;&gt;"",D39&lt;&gt;"",D40&lt;&gt;""),1,0)</f>
        <v>0</v>
      </c>
    </row>
    <row r="41" spans="1:13" x14ac:dyDescent="0.25">
      <c r="A41" s="53"/>
      <c r="B41" s="53"/>
      <c r="C41" s="53"/>
      <c r="D41" s="53"/>
      <c r="E41" s="53"/>
      <c r="F41" s="53"/>
      <c r="G41" s="53"/>
      <c r="H41" s="53"/>
      <c r="I41" s="53"/>
      <c r="J41" s="53"/>
      <c r="K41" s="53"/>
    </row>
    <row r="42" spans="1:13" ht="15.75" customHeight="1" x14ac:dyDescent="0.25">
      <c r="A42" s="53"/>
      <c r="B42" s="53"/>
      <c r="C42" s="53"/>
      <c r="D42" s="53"/>
      <c r="E42" s="53"/>
      <c r="F42" s="53"/>
      <c r="G42" s="53"/>
      <c r="H42" s="53"/>
      <c r="I42" s="53"/>
      <c r="J42" s="53"/>
      <c r="K42" s="53"/>
    </row>
    <row r="43" spans="1:13" ht="18" customHeight="1" x14ac:dyDescent="0.25">
      <c r="A43" s="422" t="s">
        <v>200</v>
      </c>
      <c r="B43" s="423"/>
      <c r="C43" s="423"/>
      <c r="D43" s="423"/>
      <c r="E43" s="423"/>
      <c r="F43" s="423"/>
      <c r="G43" s="423"/>
      <c r="H43" s="423"/>
      <c r="I43" s="423"/>
      <c r="J43" s="423"/>
      <c r="K43" s="423"/>
    </row>
    <row r="44" spans="1:13" ht="12.75" customHeight="1" x14ac:dyDescent="0.25">
      <c r="A44" s="53"/>
      <c r="B44" s="54"/>
      <c r="C44" s="54"/>
      <c r="D44" s="54"/>
      <c r="E44" s="53"/>
      <c r="F44" s="53"/>
      <c r="G44" s="53"/>
      <c r="H44" s="53"/>
      <c r="I44" s="53"/>
      <c r="J44" s="53"/>
      <c r="K44" s="53"/>
    </row>
    <row r="45" spans="1:13" ht="21" customHeight="1" x14ac:dyDescent="0.25">
      <c r="A45" s="53"/>
      <c r="B45" s="2143" t="s">
        <v>2266</v>
      </c>
      <c r="C45" s="2144"/>
      <c r="D45" s="2144"/>
      <c r="E45" s="2144"/>
      <c r="F45" s="2144"/>
      <c r="G45" s="1165" t="s">
        <v>2101</v>
      </c>
      <c r="H45" s="2145" t="s">
        <v>2102</v>
      </c>
      <c r="I45" s="2146"/>
      <c r="J45" s="53"/>
      <c r="K45" s="53"/>
    </row>
    <row r="46" spans="1:13" ht="30" customHeight="1" x14ac:dyDescent="0.25">
      <c r="A46" s="53"/>
      <c r="B46" s="1436" t="s">
        <v>2262</v>
      </c>
      <c r="C46" s="1437"/>
      <c r="D46" s="1437"/>
      <c r="E46" s="1437"/>
      <c r="F46" s="1438"/>
      <c r="G46" s="1144" t="s">
        <v>129</v>
      </c>
      <c r="H46" s="1737"/>
      <c r="I46" s="1738"/>
      <c r="J46" s="53"/>
      <c r="K46" s="53"/>
      <c r="L46" s="42" t="s">
        <v>9</v>
      </c>
    </row>
    <row r="47" spans="1:13" ht="30" customHeight="1" x14ac:dyDescent="0.25">
      <c r="A47" s="53"/>
      <c r="B47" s="1436" t="s">
        <v>2261</v>
      </c>
      <c r="C47" s="1437"/>
      <c r="D47" s="1437"/>
      <c r="E47" s="1437"/>
      <c r="F47" s="1438"/>
      <c r="G47" s="1144" t="s">
        <v>129</v>
      </c>
      <c r="H47" s="1737"/>
      <c r="I47" s="1738"/>
      <c r="J47" s="53"/>
      <c r="K47" s="53"/>
      <c r="L47" s="42" t="s">
        <v>9</v>
      </c>
      <c r="M47" s="42" t="s">
        <v>9</v>
      </c>
    </row>
    <row r="48" spans="1:13" ht="12.75" customHeight="1" x14ac:dyDescent="0.25">
      <c r="A48" s="53"/>
      <c r="B48" s="54"/>
      <c r="C48" s="54"/>
      <c r="D48" s="54"/>
      <c r="E48" s="53"/>
      <c r="F48" s="53"/>
      <c r="G48" s="53"/>
      <c r="H48" s="53"/>
      <c r="I48" s="53"/>
      <c r="J48" s="53"/>
      <c r="K48" s="53"/>
    </row>
    <row r="49" spans="1:13" ht="21" customHeight="1" x14ac:dyDescent="0.25">
      <c r="A49" s="53"/>
      <c r="B49" s="2143" t="s">
        <v>2265</v>
      </c>
      <c r="C49" s="2144"/>
      <c r="D49" s="2144"/>
      <c r="E49" s="2144"/>
      <c r="F49" s="2144"/>
      <c r="G49" s="1165" t="s">
        <v>2101</v>
      </c>
      <c r="H49" s="2145" t="s">
        <v>2102</v>
      </c>
      <c r="I49" s="2146"/>
      <c r="J49" s="53"/>
      <c r="K49" s="53"/>
    </row>
    <row r="50" spans="1:13" ht="30" customHeight="1" x14ac:dyDescent="0.25">
      <c r="A50" s="53"/>
      <c r="B50" s="1436" t="s">
        <v>2262</v>
      </c>
      <c r="C50" s="1437"/>
      <c r="D50" s="1437"/>
      <c r="E50" s="1437"/>
      <c r="F50" s="1438"/>
      <c r="G50" s="1144" t="s">
        <v>129</v>
      </c>
      <c r="H50" s="1737"/>
      <c r="I50" s="1738"/>
      <c r="J50" s="53"/>
      <c r="K50" s="53"/>
      <c r="L50" s="42" t="s">
        <v>9</v>
      </c>
    </row>
    <row r="51" spans="1:13" ht="30" customHeight="1" x14ac:dyDescent="0.25">
      <c r="A51" s="53"/>
      <c r="B51" s="1436" t="s">
        <v>2261</v>
      </c>
      <c r="C51" s="1437"/>
      <c r="D51" s="1437"/>
      <c r="E51" s="1437"/>
      <c r="F51" s="1438"/>
      <c r="G51" s="1144" t="s">
        <v>129</v>
      </c>
      <c r="H51" s="1737"/>
      <c r="I51" s="1738"/>
      <c r="J51" s="53"/>
      <c r="K51" s="53"/>
      <c r="L51" s="42" t="s">
        <v>9</v>
      </c>
      <c r="M51" s="42" t="s">
        <v>9</v>
      </c>
    </row>
    <row r="52" spans="1:13" ht="12.75" customHeight="1" x14ac:dyDescent="0.25">
      <c r="A52" s="53"/>
      <c r="B52" s="54"/>
      <c r="C52" s="54"/>
      <c r="D52" s="54"/>
      <c r="E52" s="53"/>
      <c r="F52" s="53"/>
      <c r="G52" s="53"/>
      <c r="H52" s="53"/>
      <c r="I52" s="53"/>
      <c r="J52" s="53"/>
      <c r="K52" s="53"/>
    </row>
    <row r="53" spans="1:13" ht="21" customHeight="1" x14ac:dyDescent="0.25">
      <c r="A53" s="53"/>
      <c r="B53" s="2143" t="s">
        <v>2264</v>
      </c>
      <c r="C53" s="2144"/>
      <c r="D53" s="2144"/>
      <c r="E53" s="2144"/>
      <c r="F53" s="2144"/>
      <c r="G53" s="1165" t="s">
        <v>2101</v>
      </c>
      <c r="H53" s="2145" t="s">
        <v>2102</v>
      </c>
      <c r="I53" s="2146"/>
      <c r="J53" s="53"/>
      <c r="K53" s="53"/>
    </row>
    <row r="54" spans="1:13" ht="30" customHeight="1" x14ac:dyDescent="0.25">
      <c r="A54" s="53"/>
      <c r="B54" s="1436" t="s">
        <v>2262</v>
      </c>
      <c r="C54" s="1437"/>
      <c r="D54" s="1437"/>
      <c r="E54" s="1437"/>
      <c r="F54" s="1438"/>
      <c r="G54" s="1144" t="s">
        <v>129</v>
      </c>
      <c r="H54" s="1737"/>
      <c r="I54" s="1738"/>
      <c r="J54" s="53"/>
      <c r="K54" s="53"/>
      <c r="L54" s="42" t="s">
        <v>9</v>
      </c>
    </row>
    <row r="55" spans="1:13" ht="30" customHeight="1" x14ac:dyDescent="0.25">
      <c r="A55" s="53"/>
      <c r="B55" s="1436" t="s">
        <v>2261</v>
      </c>
      <c r="C55" s="1437"/>
      <c r="D55" s="1437"/>
      <c r="E55" s="1437"/>
      <c r="F55" s="1438"/>
      <c r="G55" s="1144" t="s">
        <v>129</v>
      </c>
      <c r="H55" s="1737"/>
      <c r="I55" s="1738"/>
      <c r="J55" s="53"/>
      <c r="K55" s="53"/>
      <c r="L55" s="42" t="s">
        <v>9</v>
      </c>
      <c r="M55" s="42" t="s">
        <v>9</v>
      </c>
    </row>
    <row r="56" spans="1:13" ht="12.75" customHeight="1" x14ac:dyDescent="0.25">
      <c r="A56" s="53"/>
      <c r="B56" s="54"/>
      <c r="C56" s="54"/>
      <c r="D56" s="54"/>
      <c r="E56" s="53"/>
      <c r="F56" s="53"/>
      <c r="G56" s="53"/>
      <c r="H56" s="53"/>
      <c r="I56" s="53"/>
      <c r="J56" s="53"/>
      <c r="K56" s="53"/>
    </row>
    <row r="57" spans="1:13" ht="21" customHeight="1" x14ac:dyDescent="0.25">
      <c r="A57" s="53"/>
      <c r="B57" s="2143" t="s">
        <v>2263</v>
      </c>
      <c r="C57" s="2144"/>
      <c r="D57" s="2144"/>
      <c r="E57" s="2144"/>
      <c r="F57" s="2144"/>
      <c r="G57" s="1165" t="s">
        <v>2101</v>
      </c>
      <c r="H57" s="2145" t="s">
        <v>2102</v>
      </c>
      <c r="I57" s="2146"/>
      <c r="J57" s="53"/>
      <c r="K57" s="53"/>
    </row>
    <row r="58" spans="1:13" ht="30" customHeight="1" x14ac:dyDescent="0.25">
      <c r="A58" s="53"/>
      <c r="B58" s="1436" t="s">
        <v>2262</v>
      </c>
      <c r="C58" s="1437"/>
      <c r="D58" s="1437"/>
      <c r="E58" s="1437"/>
      <c r="F58" s="1438"/>
      <c r="G58" s="1144" t="s">
        <v>129</v>
      </c>
      <c r="H58" s="1737"/>
      <c r="I58" s="1738"/>
      <c r="J58" s="53"/>
      <c r="K58" s="53"/>
      <c r="L58" s="42" t="s">
        <v>9</v>
      </c>
    </row>
    <row r="59" spans="1:13" ht="30" customHeight="1" x14ac:dyDescent="0.25">
      <c r="A59" s="53"/>
      <c r="B59" s="1436" t="s">
        <v>2261</v>
      </c>
      <c r="C59" s="1437"/>
      <c r="D59" s="1437"/>
      <c r="E59" s="1437"/>
      <c r="F59" s="1438"/>
      <c r="G59" s="1144" t="s">
        <v>129</v>
      </c>
      <c r="H59" s="1737"/>
      <c r="I59" s="1738"/>
      <c r="J59" s="53"/>
      <c r="K59" s="53"/>
      <c r="L59" s="42" t="s">
        <v>9</v>
      </c>
      <c r="M59" s="42" t="s">
        <v>9</v>
      </c>
    </row>
    <row r="60" spans="1:13" ht="24.75" customHeight="1" x14ac:dyDescent="0.25">
      <c r="A60" s="53"/>
      <c r="B60" s="2004"/>
      <c r="C60" s="2004"/>
      <c r="D60" s="2004"/>
      <c r="E60" s="2004"/>
      <c r="F60" s="2004"/>
      <c r="G60" s="2004"/>
      <c r="H60" s="2004"/>
      <c r="I60" s="2004"/>
      <c r="J60" s="53"/>
      <c r="K60" s="53"/>
    </row>
    <row r="61" spans="1:13" ht="18" customHeight="1" x14ac:dyDescent="0.25">
      <c r="A61" s="422" t="s">
        <v>25</v>
      </c>
      <c r="B61" s="423"/>
      <c r="C61" s="423"/>
      <c r="D61" s="423"/>
      <c r="E61" s="423"/>
      <c r="F61" s="423"/>
      <c r="G61" s="423"/>
      <c r="H61" s="423"/>
      <c r="I61" s="423"/>
      <c r="J61" s="423"/>
      <c r="K61" s="423"/>
    </row>
    <row r="62" spans="1:13" x14ac:dyDescent="0.25">
      <c r="A62" s="53"/>
      <c r="B62" s="54"/>
      <c r="C62" s="54"/>
      <c r="D62" s="54"/>
      <c r="E62" s="54"/>
      <c r="F62" s="53"/>
      <c r="G62" s="53"/>
      <c r="H62" s="53"/>
      <c r="I62" s="53"/>
      <c r="J62" s="53"/>
      <c r="K62" s="53"/>
    </row>
    <row r="63" spans="1:13" ht="18" customHeight="1" x14ac:dyDescent="0.25">
      <c r="A63" s="53"/>
      <c r="B63" s="425" t="s">
        <v>56</v>
      </c>
      <c r="C63" s="1147">
        <f>SUM(L23:L41)</f>
        <v>0</v>
      </c>
      <c r="D63" s="54"/>
      <c r="E63" s="53"/>
      <c r="F63" s="53"/>
      <c r="G63" s="53"/>
      <c r="H63" s="53"/>
      <c r="I63" s="53"/>
      <c r="J63" s="53"/>
      <c r="K63" s="53"/>
    </row>
    <row r="64" spans="1:13" ht="18" customHeight="1" x14ac:dyDescent="0.25">
      <c r="A64" s="53"/>
      <c r="B64" s="425" t="s">
        <v>521</v>
      </c>
      <c r="C64" s="203" t="str">
        <f>IF(C63&gt;0,IF(C63=COUNTIF(M47:M59,"Yes"),"Yes","No"),"No")</f>
        <v>No</v>
      </c>
      <c r="D64" s="54"/>
      <c r="E64" s="54"/>
      <c r="F64" s="53"/>
      <c r="G64" s="53"/>
      <c r="H64" s="53"/>
      <c r="I64" s="53"/>
      <c r="J64" s="53"/>
      <c r="K64" s="53"/>
    </row>
    <row r="65" spans="1:11" ht="21" customHeight="1" x14ac:dyDescent="0.25">
      <c r="A65" s="53"/>
      <c r="B65" s="54"/>
      <c r="C65" s="54"/>
      <c r="D65" s="54"/>
      <c r="E65" s="54"/>
      <c r="F65" s="53"/>
      <c r="G65" s="53"/>
      <c r="H65" s="53"/>
      <c r="I65" s="53"/>
      <c r="J65" s="53"/>
      <c r="K65" s="53"/>
    </row>
    <row r="66" spans="1:11" hidden="1" x14ac:dyDescent="0.25">
      <c r="J66" s="53"/>
      <c r="K66" s="53"/>
    </row>
    <row r="67" spans="1:11" hidden="1" x14ac:dyDescent="0.25">
      <c r="J67" s="53"/>
      <c r="K67" s="53"/>
    </row>
    <row r="68" spans="1:11" hidden="1" x14ac:dyDescent="0.25">
      <c r="J68" s="53"/>
      <c r="K68" s="53"/>
    </row>
    <row r="69" spans="1:11" ht="15" hidden="1" customHeight="1" x14ac:dyDescent="0.25"/>
    <row r="70" spans="1:11" ht="15" hidden="1" customHeight="1" x14ac:dyDescent="0.25"/>
    <row r="71" spans="1:11" ht="15" hidden="1" customHeight="1" x14ac:dyDescent="0.25"/>
    <row r="72" spans="1:11" ht="15" hidden="1" customHeight="1" x14ac:dyDescent="0.25"/>
    <row r="73" spans="1:11" ht="15" hidden="1" customHeight="1" x14ac:dyDescent="0.25"/>
    <row r="74" spans="1:11" ht="15" hidden="1" customHeight="1" x14ac:dyDescent="0.25"/>
    <row r="75" spans="1:11" ht="15" hidden="1" customHeight="1" x14ac:dyDescent="0.25"/>
    <row r="76" spans="1:11" ht="15" hidden="1" customHeight="1" x14ac:dyDescent="0.25"/>
    <row r="77" spans="1:11" ht="15" hidden="1" customHeight="1" x14ac:dyDescent="0.25"/>
    <row r="78" spans="1:11" ht="15" hidden="1" customHeight="1" x14ac:dyDescent="0.25"/>
    <row r="79" spans="1:11" ht="15" hidden="1" customHeight="1" x14ac:dyDescent="0.25"/>
    <row r="80" spans="1:11"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sheetData>
  <sheetProtection algorithmName="SHA-512" hashValue="Y6C7VdfaEgTNyzBcgrwsvQwPNecsPX7JF4ZirD8/5fupUe38wGHOHq5+W78PbM7qvA9Mj67MGVKtAnVYoOYAEw==" saltValue="/7dzNpvEmdViaqNek4T3Dw==" spinCount="100000" sheet="1" objects="1" scenarios="1"/>
  <mergeCells count="54">
    <mergeCell ref="B58:F58"/>
    <mergeCell ref="H58:I58"/>
    <mergeCell ref="B59:F59"/>
    <mergeCell ref="H59:I59"/>
    <mergeCell ref="B54:F54"/>
    <mergeCell ref="H54:I54"/>
    <mergeCell ref="B55:F55"/>
    <mergeCell ref="H55:I55"/>
    <mergeCell ref="B57:F57"/>
    <mergeCell ref="H57:I57"/>
    <mergeCell ref="H50:I50"/>
    <mergeCell ref="B51:F51"/>
    <mergeCell ref="H51:I51"/>
    <mergeCell ref="B53:F53"/>
    <mergeCell ref="H53:I53"/>
    <mergeCell ref="I2:J4"/>
    <mergeCell ref="A5:K7"/>
    <mergeCell ref="B11:E11"/>
    <mergeCell ref="B12:E12"/>
    <mergeCell ref="B33:C33"/>
    <mergeCell ref="D33:H33"/>
    <mergeCell ref="K2:K4"/>
    <mergeCell ref="D23:H23"/>
    <mergeCell ref="D24:H24"/>
    <mergeCell ref="D25:H25"/>
    <mergeCell ref="D28:H28"/>
    <mergeCell ref="B35:C35"/>
    <mergeCell ref="B25:C25"/>
    <mergeCell ref="B23:C23"/>
    <mergeCell ref="B24:C24"/>
    <mergeCell ref="D35:H35"/>
    <mergeCell ref="B29:C29"/>
    <mergeCell ref="D29:H29"/>
    <mergeCell ref="B30:C30"/>
    <mergeCell ref="D30:H30"/>
    <mergeCell ref="B28:C28"/>
    <mergeCell ref="B34:C34"/>
    <mergeCell ref="D34:H34"/>
    <mergeCell ref="B60:I60"/>
    <mergeCell ref="B38:C38"/>
    <mergeCell ref="D38:H38"/>
    <mergeCell ref="B39:C39"/>
    <mergeCell ref="D39:H39"/>
    <mergeCell ref="B40:C40"/>
    <mergeCell ref="D40:H40"/>
    <mergeCell ref="B45:F45"/>
    <mergeCell ref="H45:I45"/>
    <mergeCell ref="B46:F46"/>
    <mergeCell ref="H46:I46"/>
    <mergeCell ref="B47:F47"/>
    <mergeCell ref="H47:I47"/>
    <mergeCell ref="B49:F49"/>
    <mergeCell ref="H49:I49"/>
    <mergeCell ref="B50:F50"/>
  </mergeCells>
  <conditionalFormatting sqref="G46:H47">
    <cfRule type="expression" dxfId="7" priority="7">
      <formula>$B46="No evidence required at this submission stage"</formula>
    </cfRule>
    <cfRule type="expression" dxfId="6" priority="8">
      <formula>$B46="/"</formula>
    </cfRule>
  </conditionalFormatting>
  <conditionalFormatting sqref="G50:H51">
    <cfRule type="expression" dxfId="5" priority="5">
      <formula>$B50="No evidence required at this submission stage"</formula>
    </cfRule>
    <cfRule type="expression" dxfId="4" priority="6">
      <formula>$B50="/"</formula>
    </cfRule>
  </conditionalFormatting>
  <conditionalFormatting sqref="G54:H55">
    <cfRule type="expression" dxfId="3" priority="3">
      <formula>$B54="No evidence required at this submission stage"</formula>
    </cfRule>
    <cfRule type="expression" dxfId="2" priority="4">
      <formula>$B54="/"</formula>
    </cfRule>
  </conditionalFormatting>
  <conditionalFormatting sqref="G58:H59">
    <cfRule type="expression" dxfId="1" priority="1">
      <formula>$B58="No evidence required at this submission stage"</formula>
    </cfRule>
    <cfRule type="expression" dxfId="0" priority="2">
      <formula>$B58="/"</formula>
    </cfRule>
  </conditionalFormatting>
  <dataValidations count="1">
    <dataValidation type="list" allowBlank="1" showInputMessage="1" showErrorMessage="1" sqref="G46:G47 G50:G51 G54:G55 G58:G59">
      <formula1>"Select,Submitted,Not submitted"</formula1>
    </dataValidation>
  </dataValidations>
  <hyperlinks>
    <hyperlink ref="K2" location="'Inn-1 Exceptional Performance '!A1" tooltip="Inn-1" display="Inn-1"/>
    <hyperlink ref="K2:K4" location="'Inn-1 Exceptional Performance '!B3" tooltip="Inn-1" display="Inn-1"/>
  </hyperlinks>
  <pageMargins left="0.7" right="0.7" top="0.75" bottom="0.75" header="0.3" footer="0.3"/>
  <pageSetup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943634"/>
  </sheetPr>
  <dimension ref="A1:T424"/>
  <sheetViews>
    <sheetView workbookViewId="0">
      <pane ySplit="2" topLeftCell="A51" activePane="bottomLeft" state="frozen"/>
      <selection pane="bottomLeft" activeCell="A50" sqref="A50:T77"/>
    </sheetView>
  </sheetViews>
  <sheetFormatPr defaultColWidth="0" defaultRowHeight="15" customHeight="1" zeroHeight="1" x14ac:dyDescent="0.25"/>
  <cols>
    <col min="1" max="1" width="4.140625" customWidth="1"/>
    <col min="2" max="2" width="11.140625" customWidth="1"/>
    <col min="3" max="3" width="9.7109375" customWidth="1"/>
    <col min="4" max="4" width="9.140625" customWidth="1"/>
    <col min="5" max="5" width="5.7109375" customWidth="1"/>
    <col min="6" max="9" width="8.28515625" customWidth="1"/>
    <col min="10" max="10" width="5.7109375" customWidth="1"/>
    <col min="11" max="14" width="6.7109375" customWidth="1"/>
    <col min="15" max="15" width="5.7109375" customWidth="1"/>
    <col min="16" max="19" width="9.140625" customWidth="1"/>
    <col min="20" max="20" width="5.7109375" customWidth="1"/>
    <col min="21" max="16384" width="9.140625" hidden="1"/>
  </cols>
  <sheetData>
    <row r="1" spans="1:20" s="15" customFormat="1" ht="30" customHeight="1" x14ac:dyDescent="0.2">
      <c r="A1" s="1207" t="s">
        <v>1717</v>
      </c>
      <c r="B1" s="1207"/>
      <c r="C1" s="1207"/>
      <c r="D1" s="1207"/>
      <c r="E1" s="1207"/>
      <c r="F1" s="1207"/>
      <c r="G1" s="1207"/>
      <c r="H1" s="1207"/>
      <c r="I1" s="1207"/>
      <c r="J1" s="1207"/>
      <c r="K1" s="1207"/>
      <c r="L1" s="1207"/>
      <c r="M1" s="1207"/>
      <c r="N1" s="1207"/>
      <c r="O1" s="1207"/>
      <c r="P1" s="1207"/>
      <c r="Q1" s="1207"/>
      <c r="R1" s="1207"/>
      <c r="S1" s="1207"/>
      <c r="T1" s="1207"/>
    </row>
    <row r="2" spans="1:20" s="1137" customFormat="1" ht="27" customHeight="1" x14ac:dyDescent="0.2">
      <c r="A2" s="1149"/>
      <c r="B2" s="2149" t="s">
        <v>2169</v>
      </c>
      <c r="C2" s="2149"/>
      <c r="D2" s="2149"/>
      <c r="E2" s="1150"/>
      <c r="F2" s="2149" t="s">
        <v>2170</v>
      </c>
      <c r="G2" s="2149"/>
      <c r="H2" s="2149"/>
      <c r="I2" s="2149"/>
      <c r="J2" s="1150"/>
      <c r="K2" s="2149" t="s">
        <v>2171</v>
      </c>
      <c r="L2" s="2149"/>
      <c r="M2" s="2149"/>
      <c r="N2" s="2149"/>
      <c r="O2" s="1151"/>
      <c r="P2" s="2149" t="s">
        <v>2172</v>
      </c>
      <c r="Q2" s="2149"/>
      <c r="R2" s="2149"/>
      <c r="S2" s="2149"/>
      <c r="T2" s="1150"/>
    </row>
    <row r="3" spans="1:20" s="15" customFormat="1" ht="16.5" customHeight="1" x14ac:dyDescent="0.2">
      <c r="A3" s="16"/>
      <c r="B3" s="16"/>
      <c r="C3" s="16"/>
      <c r="D3" s="17"/>
      <c r="E3" s="17"/>
      <c r="F3" s="17"/>
      <c r="G3" s="17"/>
      <c r="H3" s="17"/>
      <c r="I3" s="17"/>
      <c r="J3" s="17"/>
      <c r="K3" s="17"/>
      <c r="L3" s="17"/>
      <c r="M3" s="17"/>
      <c r="N3" s="17"/>
      <c r="O3" s="17"/>
      <c r="P3" s="17"/>
      <c r="Q3" s="17"/>
      <c r="R3" s="17"/>
      <c r="S3" s="17"/>
      <c r="T3" s="17"/>
    </row>
    <row r="4" spans="1:20" s="15" customFormat="1" ht="21" customHeight="1" x14ac:dyDescent="0.2">
      <c r="A4" s="2150" t="s">
        <v>2014</v>
      </c>
      <c r="B4" s="2150"/>
      <c r="C4" s="2150"/>
      <c r="D4" s="2150"/>
      <c r="E4" s="2150"/>
      <c r="F4" s="2150"/>
      <c r="G4" s="16"/>
      <c r="H4" s="16"/>
      <c r="I4" s="16"/>
      <c r="J4" s="16"/>
      <c r="K4" s="16"/>
      <c r="L4" s="16"/>
      <c r="M4" s="16"/>
      <c r="N4" s="16"/>
      <c r="O4" s="16"/>
      <c r="P4" s="16"/>
      <c r="Q4" s="16"/>
      <c r="R4" s="16"/>
      <c r="S4" s="16"/>
      <c r="T4" s="16"/>
    </row>
    <row r="5" spans="1:20" s="15" customFormat="1" ht="15" customHeight="1" x14ac:dyDescent="0.2">
      <c r="A5" s="16"/>
      <c r="B5" s="16"/>
      <c r="C5" s="16"/>
      <c r="D5" s="16"/>
      <c r="E5" s="16"/>
      <c r="F5" s="16"/>
      <c r="G5" s="16"/>
      <c r="H5" s="16"/>
      <c r="I5" s="16"/>
      <c r="J5" s="16"/>
      <c r="K5" s="16"/>
      <c r="L5" s="16"/>
      <c r="M5" s="16"/>
      <c r="N5" s="16"/>
      <c r="O5" s="16"/>
      <c r="P5" s="16"/>
      <c r="Q5" s="16"/>
      <c r="R5" s="16"/>
      <c r="S5" s="16"/>
      <c r="T5" s="16"/>
    </row>
    <row r="6" spans="1:20" s="15" customFormat="1" ht="15" customHeight="1" x14ac:dyDescent="0.2">
      <c r="A6" s="16"/>
      <c r="B6" s="16" t="s">
        <v>1718</v>
      </c>
      <c r="C6" s="16"/>
      <c r="D6" s="16"/>
      <c r="E6" s="16"/>
      <c r="F6" s="16"/>
      <c r="G6" s="16"/>
      <c r="H6" s="16"/>
      <c r="I6" s="16"/>
      <c r="J6" s="16"/>
      <c r="K6" s="16"/>
      <c r="L6" s="16"/>
      <c r="M6" s="16"/>
      <c r="N6" s="16"/>
      <c r="O6" s="16"/>
      <c r="P6" s="16"/>
      <c r="Q6" s="16"/>
      <c r="R6" s="16"/>
      <c r="S6" s="16"/>
      <c r="T6" s="16"/>
    </row>
    <row r="7" spans="1:20" s="15" customFormat="1" ht="12" customHeight="1" x14ac:dyDescent="0.2">
      <c r="A7" s="16"/>
      <c r="B7" s="16"/>
      <c r="C7" s="16"/>
      <c r="D7" s="16"/>
      <c r="E7" s="16"/>
      <c r="F7" s="16"/>
      <c r="G7" s="16"/>
      <c r="H7" s="16"/>
      <c r="I7" s="16"/>
      <c r="J7" s="16"/>
      <c r="K7" s="16"/>
      <c r="L7" s="16"/>
      <c r="M7" s="16"/>
      <c r="N7" s="16"/>
      <c r="O7" s="16"/>
      <c r="P7" s="16"/>
      <c r="Q7" s="16"/>
      <c r="R7" s="16"/>
      <c r="S7" s="16"/>
      <c r="T7" s="16"/>
    </row>
    <row r="8" spans="1:20" s="926" customFormat="1" ht="30" customHeight="1" x14ac:dyDescent="0.25">
      <c r="A8" s="925"/>
      <c r="B8" s="2148" t="s">
        <v>1719</v>
      </c>
      <c r="C8" s="2148"/>
      <c r="D8" s="2148"/>
      <c r="E8" s="2148"/>
      <c r="F8" s="2148"/>
      <c r="G8" s="2148"/>
      <c r="H8" s="2148"/>
      <c r="I8" s="2148"/>
      <c r="J8" s="2148"/>
      <c r="K8" s="2148"/>
      <c r="L8" s="2148"/>
      <c r="M8" s="2148"/>
      <c r="N8" s="2148"/>
      <c r="O8" s="2148"/>
      <c r="P8" s="2148"/>
      <c r="Q8" s="2148"/>
      <c r="R8" s="2148"/>
      <c r="S8" s="2148"/>
    </row>
    <row r="9" spans="1:20" s="15" customFormat="1" ht="12" customHeight="1" x14ac:dyDescent="0.2">
      <c r="A9" s="16"/>
      <c r="B9" s="16"/>
      <c r="C9" s="16"/>
      <c r="D9" s="16"/>
      <c r="E9" s="16"/>
      <c r="F9" s="16"/>
      <c r="G9" s="16"/>
      <c r="H9" s="16"/>
      <c r="I9" s="16"/>
      <c r="J9" s="16"/>
      <c r="K9" s="16"/>
      <c r="L9" s="16"/>
      <c r="M9" s="16"/>
      <c r="N9" s="16"/>
      <c r="O9" s="16"/>
      <c r="P9" s="16"/>
      <c r="Q9" s="16"/>
      <c r="R9" s="16"/>
      <c r="S9" s="16"/>
      <c r="T9" s="16"/>
    </row>
    <row r="10" spans="1:20" s="932" customFormat="1" ht="42" customHeight="1" x14ac:dyDescent="0.2">
      <c r="A10" s="931"/>
      <c r="B10" s="2148" t="s">
        <v>1786</v>
      </c>
      <c r="C10" s="2148"/>
      <c r="D10" s="2148"/>
      <c r="E10" s="2148"/>
      <c r="F10" s="2148"/>
      <c r="G10" s="2148"/>
      <c r="H10" s="2148"/>
      <c r="I10" s="2148"/>
      <c r="J10" s="2148"/>
      <c r="K10" s="2148"/>
      <c r="L10" s="2148"/>
      <c r="M10" s="2148"/>
      <c r="N10" s="2148"/>
      <c r="O10" s="2148"/>
      <c r="P10" s="2148"/>
      <c r="Q10" s="2148"/>
      <c r="R10" s="2148"/>
      <c r="S10" s="2148"/>
    </row>
    <row r="11" spans="1:20" s="15" customFormat="1" ht="12" customHeight="1" x14ac:dyDescent="0.2">
      <c r="A11" s="16"/>
      <c r="B11" s="16"/>
      <c r="C11" s="16"/>
      <c r="D11" s="16"/>
      <c r="E11" s="16"/>
      <c r="F11" s="16"/>
      <c r="G11" s="16"/>
      <c r="H11" s="16"/>
      <c r="I11" s="16"/>
      <c r="J11" s="16"/>
      <c r="K11" s="16"/>
      <c r="L11" s="16"/>
      <c r="M11" s="16"/>
      <c r="N11" s="16"/>
      <c r="O11" s="16"/>
      <c r="P11" s="16"/>
      <c r="Q11" s="16"/>
      <c r="R11" s="16"/>
      <c r="S11" s="16"/>
      <c r="T11" s="16"/>
    </row>
    <row r="12" spans="1:20" s="926" customFormat="1" ht="14.25" customHeight="1" x14ac:dyDescent="0.25">
      <c r="A12" s="925"/>
      <c r="B12" s="2148" t="s">
        <v>2165</v>
      </c>
      <c r="C12" s="2148"/>
      <c r="D12" s="2148"/>
      <c r="E12" s="2148"/>
      <c r="F12" s="2148"/>
      <c r="G12" s="2148"/>
      <c r="H12" s="2148"/>
      <c r="I12" s="2148"/>
      <c r="J12" s="2148"/>
      <c r="K12" s="2148"/>
      <c r="L12" s="2148"/>
      <c r="M12" s="2148"/>
      <c r="N12" s="2148"/>
      <c r="O12" s="2148"/>
      <c r="P12" s="2148"/>
      <c r="Q12" s="2148"/>
      <c r="R12" s="2148"/>
      <c r="S12" s="2148"/>
    </row>
    <row r="13" spans="1:20" s="1131" customFormat="1" ht="12" customHeight="1" x14ac:dyDescent="0.2">
      <c r="A13" s="16"/>
      <c r="B13" s="16"/>
      <c r="C13" s="16"/>
      <c r="D13" s="16"/>
      <c r="E13" s="16"/>
      <c r="F13" s="16"/>
      <c r="G13" s="16"/>
      <c r="H13" s="16"/>
      <c r="I13" s="16"/>
      <c r="J13" s="16"/>
      <c r="K13" s="16"/>
      <c r="L13" s="16"/>
      <c r="M13" s="16"/>
      <c r="N13" s="16"/>
      <c r="O13" s="16"/>
      <c r="P13" s="16"/>
      <c r="Q13" s="16"/>
      <c r="R13" s="16"/>
      <c r="S13" s="16"/>
      <c r="T13" s="16"/>
    </row>
    <row r="14" spans="1:20" s="1131" customFormat="1" ht="15" customHeight="1" x14ac:dyDescent="0.2">
      <c r="A14" s="16"/>
      <c r="B14" s="2148" t="s">
        <v>2167</v>
      </c>
      <c r="C14" s="2148"/>
      <c r="D14" s="2148"/>
      <c r="E14" s="2148"/>
      <c r="F14" s="2148"/>
      <c r="G14" s="2148"/>
      <c r="H14" s="2148"/>
      <c r="I14" s="2148"/>
      <c r="J14" s="2148"/>
      <c r="K14" s="2148"/>
      <c r="L14" s="2148"/>
      <c r="M14" s="2148"/>
      <c r="N14" s="2148"/>
      <c r="O14" s="2148"/>
      <c r="P14" s="2148"/>
      <c r="Q14" s="2148"/>
      <c r="R14" s="2148"/>
      <c r="S14" s="2148"/>
    </row>
    <row r="15" spans="1:20" s="1131" customFormat="1" ht="12" customHeight="1" x14ac:dyDescent="0.2">
      <c r="A15" s="16"/>
      <c r="B15" s="16"/>
      <c r="C15" s="16"/>
      <c r="D15" s="16"/>
      <c r="E15" s="16"/>
      <c r="F15" s="16"/>
      <c r="G15" s="16"/>
      <c r="H15" s="16"/>
      <c r="I15" s="16"/>
      <c r="J15" s="16"/>
      <c r="K15" s="16"/>
      <c r="L15" s="16"/>
      <c r="M15" s="16"/>
      <c r="N15" s="16"/>
      <c r="O15" s="16"/>
      <c r="P15" s="16"/>
      <c r="Q15" s="16"/>
      <c r="R15" s="16"/>
      <c r="S15" s="16"/>
      <c r="T15" s="16"/>
    </row>
    <row r="16" spans="1:20" s="1131" customFormat="1" ht="30" customHeight="1" x14ac:dyDescent="0.2">
      <c r="A16" s="16"/>
      <c r="B16" s="2148" t="s">
        <v>2166</v>
      </c>
      <c r="C16" s="2148"/>
      <c r="D16" s="2148"/>
      <c r="E16" s="2148"/>
      <c r="F16" s="2148"/>
      <c r="G16" s="2148"/>
      <c r="H16" s="2148"/>
      <c r="I16" s="2148"/>
      <c r="J16" s="2148"/>
      <c r="K16" s="2148"/>
      <c r="L16" s="2148"/>
      <c r="M16" s="2148"/>
      <c r="N16" s="2148"/>
      <c r="O16" s="2148"/>
      <c r="P16" s="2148"/>
      <c r="Q16" s="2148"/>
      <c r="R16" s="2148"/>
      <c r="S16" s="2148"/>
    </row>
    <row r="17" spans="1:20" s="1131" customFormat="1" ht="12" customHeight="1" x14ac:dyDescent="0.2">
      <c r="A17" s="16"/>
      <c r="B17" s="16"/>
      <c r="C17" s="16"/>
      <c r="D17" s="16"/>
      <c r="E17" s="16"/>
      <c r="F17" s="16"/>
      <c r="G17" s="16"/>
      <c r="H17" s="16"/>
      <c r="I17" s="16"/>
      <c r="J17" s="16"/>
      <c r="K17" s="16"/>
      <c r="L17" s="16"/>
      <c r="M17" s="16"/>
      <c r="N17" s="16"/>
      <c r="O17" s="16"/>
      <c r="P17" s="16"/>
      <c r="Q17" s="16"/>
      <c r="R17" s="16"/>
      <c r="S17" s="16"/>
      <c r="T17" s="16"/>
    </row>
    <row r="18" spans="1:20" s="15" customFormat="1" ht="15" customHeight="1" x14ac:dyDescent="0.2">
      <c r="A18" s="16"/>
      <c r="B18" s="2151" t="s">
        <v>1720</v>
      </c>
      <c r="C18" s="2151"/>
      <c r="D18" s="2151"/>
      <c r="E18" s="2151"/>
      <c r="F18" s="2151"/>
      <c r="G18" s="2151"/>
      <c r="H18" s="2151"/>
      <c r="I18" s="2151"/>
      <c r="J18" s="2151"/>
      <c r="K18" s="2151"/>
      <c r="L18" s="2151"/>
      <c r="M18" s="2151"/>
      <c r="N18" s="2151"/>
      <c r="O18" s="2151"/>
      <c r="P18" s="2151"/>
      <c r="Q18" s="2151"/>
      <c r="R18" s="2151"/>
      <c r="S18" s="16"/>
    </row>
    <row r="19" spans="1:20" s="15" customFormat="1" ht="12" customHeight="1" x14ac:dyDescent="0.2">
      <c r="A19" s="16"/>
      <c r="B19" s="16"/>
      <c r="C19" s="16"/>
      <c r="D19" s="16"/>
      <c r="E19" s="16"/>
      <c r="F19" s="16"/>
      <c r="G19" s="16"/>
      <c r="H19" s="16"/>
      <c r="I19" s="16"/>
      <c r="J19" s="16"/>
      <c r="K19" s="16"/>
      <c r="L19" s="16"/>
      <c r="M19" s="16"/>
      <c r="N19" s="16"/>
      <c r="O19" s="16"/>
      <c r="P19" s="16"/>
      <c r="Q19" s="16"/>
      <c r="R19" s="16"/>
      <c r="S19" s="16"/>
      <c r="T19" s="16"/>
    </row>
    <row r="20" spans="1:20" s="15" customFormat="1" ht="15" customHeight="1" x14ac:dyDescent="0.2">
      <c r="A20" s="16"/>
      <c r="B20" s="2151" t="s">
        <v>1721</v>
      </c>
      <c r="C20" s="2151"/>
      <c r="D20" s="2151"/>
      <c r="E20" s="2151"/>
      <c r="F20" s="2151"/>
      <c r="G20" s="2151"/>
      <c r="H20" s="2151"/>
      <c r="I20" s="2151"/>
      <c r="J20" s="2151"/>
      <c r="K20" s="2151"/>
      <c r="L20" s="2151"/>
      <c r="M20" s="2151"/>
      <c r="N20" s="2151"/>
      <c r="O20" s="2151"/>
      <c r="P20" s="2151"/>
      <c r="Q20" s="2151"/>
      <c r="R20" s="2151"/>
      <c r="S20" s="16"/>
    </row>
    <row r="21" spans="1:20" s="15" customFormat="1" ht="12" customHeight="1" x14ac:dyDescent="0.2">
      <c r="A21" s="16"/>
      <c r="B21" s="16"/>
      <c r="C21" s="16"/>
      <c r="D21" s="16"/>
      <c r="E21" s="16"/>
      <c r="F21" s="16"/>
      <c r="G21" s="16"/>
      <c r="H21" s="16"/>
      <c r="I21" s="16"/>
      <c r="J21" s="16"/>
      <c r="K21" s="16"/>
      <c r="L21" s="16"/>
      <c r="M21" s="16"/>
      <c r="N21" s="16"/>
      <c r="O21" s="16"/>
      <c r="P21" s="16"/>
      <c r="Q21" s="16"/>
      <c r="R21" s="16"/>
      <c r="S21" s="16"/>
      <c r="T21" s="16"/>
    </row>
    <row r="22" spans="1:20" s="926" customFormat="1" ht="30" customHeight="1" x14ac:dyDescent="0.25">
      <c r="A22" s="925"/>
      <c r="B22" s="2148" t="s">
        <v>1979</v>
      </c>
      <c r="C22" s="2148"/>
      <c r="D22" s="2148"/>
      <c r="E22" s="2148"/>
      <c r="F22" s="2148"/>
      <c r="G22" s="2148"/>
      <c r="H22" s="2148"/>
      <c r="I22" s="2148"/>
      <c r="J22" s="2148"/>
      <c r="K22" s="2148"/>
      <c r="L22" s="2148"/>
      <c r="M22" s="2148"/>
      <c r="N22" s="2148"/>
      <c r="O22" s="2148"/>
      <c r="P22" s="2148"/>
      <c r="Q22" s="2148"/>
      <c r="R22" s="2148"/>
      <c r="S22" s="2148"/>
    </row>
    <row r="23" spans="1:20" s="15" customFormat="1" ht="12" customHeight="1" x14ac:dyDescent="0.2">
      <c r="A23" s="16"/>
      <c r="B23" s="16"/>
      <c r="C23" s="16"/>
      <c r="D23" s="16"/>
      <c r="E23" s="16"/>
      <c r="F23" s="16"/>
      <c r="G23" s="16"/>
      <c r="H23" s="16"/>
      <c r="I23" s="16"/>
      <c r="J23" s="16"/>
      <c r="K23" s="16"/>
      <c r="L23" s="16"/>
      <c r="M23" s="16"/>
      <c r="N23" s="16"/>
      <c r="O23" s="16"/>
      <c r="P23" s="16"/>
      <c r="Q23" s="16"/>
      <c r="R23" s="16"/>
      <c r="S23" s="16"/>
      <c r="T23" s="16"/>
    </row>
    <row r="24" spans="1:20" s="926" customFormat="1" ht="30" customHeight="1" x14ac:dyDescent="0.25">
      <c r="A24" s="925"/>
      <c r="B24" s="2148" t="s">
        <v>1981</v>
      </c>
      <c r="C24" s="2148"/>
      <c r="D24" s="2148"/>
      <c r="E24" s="2148"/>
      <c r="F24" s="2148"/>
      <c r="G24" s="2148"/>
      <c r="H24" s="2148"/>
      <c r="I24" s="2148"/>
      <c r="J24" s="2148"/>
      <c r="K24" s="2148"/>
      <c r="L24" s="2148"/>
      <c r="M24" s="2148"/>
      <c r="N24" s="2148"/>
      <c r="O24" s="2148"/>
      <c r="P24" s="2148"/>
      <c r="Q24" s="2148"/>
      <c r="R24" s="2148"/>
      <c r="S24" s="2148"/>
    </row>
    <row r="25" spans="1:20" s="15" customFormat="1" ht="12" customHeight="1" x14ac:dyDescent="0.2">
      <c r="A25" s="16"/>
      <c r="B25" s="16"/>
      <c r="C25" s="16"/>
      <c r="D25" s="16"/>
      <c r="E25" s="16"/>
      <c r="F25" s="16"/>
      <c r="G25" s="16"/>
      <c r="H25" s="16"/>
      <c r="I25" s="16"/>
      <c r="J25" s="16"/>
      <c r="K25" s="16"/>
      <c r="L25" s="16"/>
      <c r="M25" s="16"/>
      <c r="N25" s="16"/>
      <c r="O25" s="16"/>
      <c r="P25" s="16"/>
      <c r="Q25" s="16"/>
      <c r="R25" s="16"/>
      <c r="S25" s="16"/>
      <c r="T25" s="16"/>
    </row>
    <row r="26" spans="1:20" s="926" customFormat="1" ht="30" customHeight="1" x14ac:dyDescent="0.25">
      <c r="A26" s="925"/>
      <c r="B26" s="2148" t="s">
        <v>1980</v>
      </c>
      <c r="C26" s="2148"/>
      <c r="D26" s="2148"/>
      <c r="E26" s="2148"/>
      <c r="F26" s="2148"/>
      <c r="G26" s="2148"/>
      <c r="H26" s="2148"/>
      <c r="I26" s="2148"/>
      <c r="J26" s="2148"/>
      <c r="K26" s="2148"/>
      <c r="L26" s="2148"/>
      <c r="M26" s="2148"/>
      <c r="N26" s="2148"/>
      <c r="O26" s="2148"/>
      <c r="P26" s="2148"/>
      <c r="Q26" s="2148"/>
      <c r="R26" s="2148"/>
      <c r="S26" s="2148"/>
    </row>
    <row r="27" spans="1:20" s="15" customFormat="1" ht="12" customHeight="1" x14ac:dyDescent="0.2">
      <c r="A27" s="16"/>
      <c r="B27" s="16"/>
      <c r="C27" s="16"/>
      <c r="D27" s="16"/>
      <c r="E27" s="16"/>
      <c r="F27" s="16"/>
      <c r="G27" s="16"/>
      <c r="H27" s="16"/>
      <c r="I27" s="16"/>
      <c r="J27" s="16"/>
      <c r="K27" s="16"/>
      <c r="L27" s="16"/>
      <c r="M27" s="16"/>
      <c r="N27" s="16"/>
      <c r="O27" s="16"/>
      <c r="P27" s="16"/>
      <c r="Q27" s="16"/>
      <c r="R27" s="16"/>
      <c r="S27" s="16"/>
      <c r="T27" s="16"/>
    </row>
    <row r="28" spans="1:20" s="926" customFormat="1" ht="30" customHeight="1" x14ac:dyDescent="0.25">
      <c r="A28" s="925"/>
      <c r="B28" s="2148" t="s">
        <v>1898</v>
      </c>
      <c r="C28" s="2148"/>
      <c r="D28" s="2148"/>
      <c r="E28" s="2148"/>
      <c r="F28" s="2148"/>
      <c r="G28" s="2148"/>
      <c r="H28" s="2148"/>
      <c r="I28" s="2148"/>
      <c r="J28" s="2148"/>
      <c r="K28" s="2148"/>
      <c r="L28" s="2148"/>
      <c r="M28" s="2148"/>
      <c r="N28" s="2148"/>
      <c r="O28" s="2148"/>
      <c r="P28" s="2148"/>
      <c r="Q28" s="2148"/>
      <c r="R28" s="2148"/>
      <c r="S28" s="2148"/>
    </row>
    <row r="29" spans="1:20" s="15" customFormat="1" ht="12" customHeight="1" x14ac:dyDescent="0.2">
      <c r="A29" s="16"/>
      <c r="B29" s="16"/>
      <c r="C29" s="16"/>
      <c r="D29" s="16"/>
      <c r="E29" s="16"/>
      <c r="F29" s="16"/>
      <c r="G29" s="16"/>
      <c r="H29" s="16"/>
      <c r="I29" s="16"/>
      <c r="J29" s="16"/>
      <c r="K29" s="16"/>
      <c r="L29" s="16"/>
      <c r="M29" s="16"/>
      <c r="N29" s="16"/>
      <c r="O29" s="16"/>
      <c r="P29" s="16"/>
      <c r="Q29" s="16"/>
      <c r="R29" s="16"/>
      <c r="S29" s="16"/>
      <c r="T29" s="16"/>
    </row>
    <row r="30" spans="1:20" s="15" customFormat="1" ht="15" customHeight="1" x14ac:dyDescent="0.2">
      <c r="A30" s="16"/>
      <c r="B30" s="2151" t="s">
        <v>1899</v>
      </c>
      <c r="C30" s="2151"/>
      <c r="D30" s="2151"/>
      <c r="E30" s="2151"/>
      <c r="F30" s="2151"/>
      <c r="G30" s="2151"/>
      <c r="H30" s="2151"/>
      <c r="I30" s="2151"/>
      <c r="J30" s="2151"/>
      <c r="K30" s="2151"/>
      <c r="L30" s="2151"/>
      <c r="M30" s="2151"/>
      <c r="N30" s="2151"/>
      <c r="O30" s="2151"/>
      <c r="P30" s="2151"/>
      <c r="Q30" s="2151"/>
      <c r="R30" s="2151"/>
      <c r="S30" s="16"/>
    </row>
    <row r="31" spans="1:20" s="15" customFormat="1" ht="12" customHeight="1" x14ac:dyDescent="0.2">
      <c r="A31" s="16"/>
      <c r="B31" s="16"/>
      <c r="C31" s="16"/>
      <c r="D31" s="16"/>
      <c r="E31" s="16"/>
      <c r="F31" s="16"/>
      <c r="G31" s="16"/>
      <c r="H31" s="16"/>
      <c r="I31" s="16"/>
      <c r="J31" s="16"/>
      <c r="K31" s="16"/>
      <c r="L31" s="16"/>
      <c r="M31" s="16"/>
      <c r="N31" s="16"/>
      <c r="O31" s="16"/>
      <c r="P31" s="16"/>
      <c r="Q31" s="16"/>
      <c r="R31" s="16"/>
      <c r="S31" s="16"/>
      <c r="T31" s="16"/>
    </row>
    <row r="32" spans="1:20" s="15" customFormat="1" ht="15" customHeight="1" x14ac:dyDescent="0.2">
      <c r="A32" s="16"/>
      <c r="B32" s="2151" t="s">
        <v>1722</v>
      </c>
      <c r="C32" s="2151"/>
      <c r="D32" s="2151"/>
      <c r="E32" s="2151"/>
      <c r="F32" s="2151"/>
      <c r="G32" s="2151"/>
      <c r="H32" s="2151"/>
      <c r="I32" s="2151"/>
      <c r="J32" s="2151"/>
      <c r="K32" s="2151"/>
      <c r="L32" s="2151"/>
      <c r="M32" s="2151"/>
      <c r="N32" s="2151"/>
      <c r="O32" s="2151"/>
      <c r="P32" s="2151"/>
      <c r="Q32" s="2151"/>
      <c r="R32" s="2151"/>
      <c r="S32" s="16"/>
    </row>
    <row r="33" spans="1:20" s="15" customFormat="1" ht="18.75" customHeight="1" x14ac:dyDescent="0.2">
      <c r="A33" s="378"/>
      <c r="B33" s="378"/>
      <c r="C33" s="378"/>
      <c r="D33" s="378"/>
      <c r="E33" s="378"/>
      <c r="F33" s="378"/>
      <c r="G33" s="378"/>
      <c r="H33" s="378"/>
      <c r="I33" s="378"/>
      <c r="J33" s="378"/>
      <c r="K33" s="378"/>
      <c r="L33" s="378"/>
      <c r="M33" s="378"/>
      <c r="N33" s="378"/>
      <c r="O33" s="378"/>
      <c r="P33" s="378"/>
      <c r="Q33" s="378"/>
      <c r="R33" s="378"/>
      <c r="S33" s="378"/>
      <c r="T33" s="378"/>
    </row>
    <row r="34" spans="1:20" s="15" customFormat="1" ht="21" customHeight="1" x14ac:dyDescent="0.2">
      <c r="A34" s="2150" t="s">
        <v>1723</v>
      </c>
      <c r="B34" s="2150"/>
      <c r="C34" s="2150"/>
      <c r="D34" s="2150"/>
      <c r="E34" s="2150"/>
      <c r="F34" s="2150"/>
      <c r="G34" s="16"/>
      <c r="H34" s="16"/>
      <c r="I34" s="16"/>
      <c r="J34" s="16"/>
      <c r="K34" s="16"/>
      <c r="L34" s="16"/>
      <c r="M34" s="16"/>
      <c r="N34" s="16"/>
      <c r="O34" s="16"/>
      <c r="P34" s="16"/>
      <c r="Q34" s="16"/>
      <c r="R34" s="16"/>
      <c r="S34" s="16"/>
      <c r="T34" s="16"/>
    </row>
    <row r="35" spans="1:20" s="15" customFormat="1" ht="15" customHeight="1" x14ac:dyDescent="0.2">
      <c r="A35" s="16"/>
      <c r="B35" s="16"/>
      <c r="C35" s="16"/>
      <c r="D35" s="16"/>
      <c r="E35" s="16"/>
      <c r="F35" s="16"/>
      <c r="G35" s="16"/>
      <c r="H35" s="16"/>
      <c r="I35" s="16"/>
      <c r="J35" s="16"/>
      <c r="K35" s="16"/>
      <c r="L35" s="16"/>
      <c r="M35" s="16"/>
      <c r="N35" s="16"/>
      <c r="O35" s="16"/>
      <c r="P35" s="16"/>
      <c r="Q35" s="16"/>
      <c r="R35" s="16"/>
      <c r="S35" s="16"/>
      <c r="T35" s="16"/>
    </row>
    <row r="36" spans="1:20" s="15" customFormat="1" ht="15" customHeight="1" x14ac:dyDescent="0.2">
      <c r="A36" s="16"/>
      <c r="B36" s="580" t="s">
        <v>1093</v>
      </c>
      <c r="C36" s="16"/>
      <c r="D36" s="16"/>
      <c r="E36" s="16"/>
      <c r="F36" s="16"/>
      <c r="G36" s="16"/>
      <c r="H36" s="16"/>
      <c r="I36" s="16"/>
      <c r="J36" s="16"/>
      <c r="K36" s="16"/>
      <c r="L36" s="16"/>
      <c r="M36" s="16"/>
      <c r="N36" s="16"/>
      <c r="O36" s="16"/>
      <c r="P36" s="16"/>
      <c r="Q36" s="16"/>
      <c r="R36" s="16"/>
      <c r="S36" s="16"/>
      <c r="T36" s="16"/>
    </row>
    <row r="37" spans="1:20" s="15" customFormat="1" ht="12" customHeight="1" x14ac:dyDescent="0.2">
      <c r="A37" s="16"/>
      <c r="B37" s="16"/>
      <c r="C37" s="16"/>
      <c r="D37" s="16"/>
      <c r="E37" s="16"/>
      <c r="F37" s="16"/>
      <c r="G37" s="16"/>
      <c r="H37" s="16"/>
      <c r="I37" s="16"/>
      <c r="J37" s="16"/>
      <c r="K37" s="16"/>
      <c r="L37" s="16"/>
      <c r="M37" s="16"/>
      <c r="N37" s="16"/>
      <c r="O37" s="16"/>
      <c r="P37" s="16"/>
      <c r="Q37" s="16"/>
      <c r="R37" s="16"/>
      <c r="S37" s="16"/>
      <c r="T37" s="16"/>
    </row>
    <row r="38" spans="1:20" s="15" customFormat="1" ht="15" customHeight="1" x14ac:dyDescent="0.2">
      <c r="A38" s="16"/>
      <c r="B38" s="580" t="s">
        <v>1092</v>
      </c>
      <c r="C38" s="16"/>
      <c r="D38" s="16"/>
      <c r="E38" s="16"/>
      <c r="F38" s="16"/>
      <c r="G38" s="16"/>
      <c r="H38" s="16"/>
      <c r="I38" s="16"/>
      <c r="J38" s="16"/>
      <c r="K38" s="16"/>
      <c r="L38" s="16"/>
      <c r="M38" s="16"/>
      <c r="N38" s="16"/>
      <c r="O38" s="16"/>
      <c r="P38" s="16"/>
      <c r="Q38" s="16"/>
      <c r="R38" s="16"/>
      <c r="S38" s="16"/>
      <c r="T38" s="16"/>
    </row>
    <row r="39" spans="1:20" s="15" customFormat="1" ht="12" customHeight="1" x14ac:dyDescent="0.2">
      <c r="A39" s="16"/>
      <c r="B39" s="16"/>
      <c r="C39" s="16"/>
      <c r="D39" s="16"/>
      <c r="E39" s="16"/>
      <c r="F39" s="16"/>
      <c r="G39" s="16"/>
      <c r="H39" s="16"/>
      <c r="I39" s="16"/>
      <c r="J39" s="16"/>
      <c r="K39" s="16"/>
      <c r="L39" s="16"/>
      <c r="M39" s="16"/>
      <c r="N39" s="16"/>
      <c r="O39" s="16"/>
      <c r="P39" s="16"/>
      <c r="Q39" s="16"/>
      <c r="R39" s="16"/>
      <c r="S39" s="16"/>
      <c r="T39" s="16"/>
    </row>
    <row r="40" spans="1:20" s="15" customFormat="1" ht="15" customHeight="1" x14ac:dyDescent="0.2">
      <c r="A40" s="16"/>
      <c r="B40" s="580" t="s">
        <v>1091</v>
      </c>
      <c r="C40" s="580"/>
      <c r="D40" s="16"/>
      <c r="E40" s="16"/>
      <c r="F40" s="16"/>
      <c r="G40" s="16"/>
      <c r="H40" s="16"/>
      <c r="I40" s="16"/>
      <c r="J40" s="16"/>
      <c r="K40" s="16"/>
      <c r="L40" s="16"/>
      <c r="M40" s="16"/>
      <c r="N40" s="16"/>
      <c r="O40" s="16"/>
      <c r="P40" s="16"/>
      <c r="Q40" s="16"/>
      <c r="R40" s="16"/>
      <c r="S40" s="16"/>
      <c r="T40" s="16"/>
    </row>
    <row r="41" spans="1:20" s="15" customFormat="1" ht="12" customHeight="1" x14ac:dyDescent="0.2">
      <c r="A41" s="16"/>
      <c r="B41" s="16"/>
      <c r="C41" s="16"/>
      <c r="D41" s="16"/>
      <c r="E41" s="16"/>
      <c r="F41" s="16"/>
      <c r="G41" s="16"/>
      <c r="H41" s="16"/>
      <c r="I41" s="16"/>
      <c r="J41" s="16"/>
      <c r="K41" s="16"/>
      <c r="L41" s="16"/>
      <c r="M41" s="16"/>
      <c r="N41" s="16"/>
      <c r="O41" s="16"/>
      <c r="P41" s="16"/>
      <c r="Q41" s="16"/>
      <c r="R41" s="16"/>
      <c r="S41" s="16"/>
      <c r="T41" s="16"/>
    </row>
    <row r="42" spans="1:20" s="1131" customFormat="1" ht="105.75" customHeight="1" x14ac:dyDescent="0.2">
      <c r="A42" s="16"/>
      <c r="B42" s="2148" t="s">
        <v>2164</v>
      </c>
      <c r="C42" s="2148"/>
      <c r="D42" s="2148"/>
      <c r="E42" s="2148"/>
      <c r="F42" s="2148"/>
      <c r="G42" s="2148"/>
      <c r="H42" s="2148"/>
      <c r="I42" s="2148"/>
      <c r="J42" s="2148"/>
      <c r="K42" s="2148"/>
      <c r="L42" s="2148"/>
      <c r="M42" s="2148"/>
      <c r="N42" s="2148"/>
      <c r="O42" s="2148"/>
      <c r="P42" s="2148"/>
      <c r="Q42" s="2148"/>
      <c r="R42" s="2148"/>
      <c r="S42" s="2148"/>
      <c r="T42" s="16"/>
    </row>
    <row r="43" spans="1:20" s="1131" customFormat="1" ht="12" customHeight="1" x14ac:dyDescent="0.2">
      <c r="A43" s="16"/>
      <c r="B43" s="16"/>
      <c r="C43" s="16"/>
      <c r="D43" s="16"/>
      <c r="E43" s="16"/>
      <c r="F43" s="16"/>
      <c r="G43" s="16"/>
      <c r="H43" s="16"/>
      <c r="I43" s="16"/>
      <c r="J43" s="16"/>
      <c r="K43" s="16"/>
      <c r="L43" s="16"/>
      <c r="M43" s="16"/>
      <c r="N43" s="16"/>
      <c r="O43" s="16"/>
      <c r="P43" s="16"/>
      <c r="Q43" s="16"/>
      <c r="R43" s="16"/>
      <c r="S43" s="16"/>
      <c r="T43" s="16"/>
    </row>
    <row r="44" spans="1:20" s="1131" customFormat="1" ht="21" customHeight="1" x14ac:dyDescent="0.2">
      <c r="A44" s="16"/>
      <c r="B44" s="2148" t="s">
        <v>1135</v>
      </c>
      <c r="C44" s="2148"/>
      <c r="D44" s="2148"/>
      <c r="E44" s="2148"/>
      <c r="F44" s="2148"/>
      <c r="G44" s="2148"/>
      <c r="H44" s="2148"/>
      <c r="I44" s="2148"/>
      <c r="J44" s="2148"/>
      <c r="K44" s="2148"/>
      <c r="L44" s="2148"/>
      <c r="M44" s="2148"/>
      <c r="N44" s="2148"/>
      <c r="O44" s="2148"/>
      <c r="P44" s="2148"/>
      <c r="Q44" s="2148"/>
      <c r="R44" s="2148"/>
      <c r="S44" s="2148"/>
      <c r="T44" s="16"/>
    </row>
    <row r="45" spans="1:20" s="1131" customFormat="1" ht="21" customHeight="1" x14ac:dyDescent="0.2">
      <c r="A45" s="16"/>
      <c r="B45" s="2148"/>
      <c r="C45" s="2148"/>
      <c r="D45" s="2148"/>
      <c r="E45" s="2148"/>
      <c r="F45" s="2148"/>
      <c r="G45" s="2148"/>
      <c r="H45" s="2148"/>
      <c r="I45" s="2148"/>
      <c r="J45" s="2148"/>
      <c r="K45" s="2148"/>
      <c r="L45" s="2148"/>
      <c r="M45" s="2148"/>
      <c r="N45" s="2148"/>
      <c r="O45" s="2148"/>
      <c r="P45" s="2148"/>
      <c r="Q45" s="2148"/>
      <c r="R45" s="2148"/>
      <c r="S45" s="2148"/>
      <c r="T45" s="16"/>
    </row>
    <row r="46" spans="1:20" s="15" customFormat="1" ht="12" customHeight="1" x14ac:dyDescent="0.2">
      <c r="A46" s="16"/>
      <c r="B46" s="16"/>
      <c r="C46" s="16"/>
      <c r="D46" s="16"/>
      <c r="E46" s="16"/>
      <c r="F46" s="16"/>
      <c r="G46" s="16"/>
      <c r="H46" s="16"/>
      <c r="I46" s="16"/>
      <c r="J46" s="16"/>
      <c r="K46" s="16"/>
      <c r="L46" s="16"/>
      <c r="M46" s="16"/>
      <c r="N46" s="16"/>
      <c r="O46" s="16"/>
      <c r="P46" s="16"/>
      <c r="Q46" s="16"/>
      <c r="R46" s="16"/>
      <c r="S46" s="16"/>
      <c r="T46" s="16"/>
    </row>
    <row r="47" spans="1:20" s="15" customFormat="1" ht="15" hidden="1" customHeight="1" x14ac:dyDescent="0.2">
      <c r="A47" s="16"/>
      <c r="B47" s="16" t="s">
        <v>1088</v>
      </c>
      <c r="C47" s="16"/>
      <c r="D47" s="16"/>
      <c r="E47" s="16"/>
      <c r="F47" s="16"/>
      <c r="G47" s="16"/>
      <c r="H47" s="16"/>
      <c r="I47" s="16"/>
      <c r="J47" s="16"/>
      <c r="K47" s="16"/>
      <c r="L47" s="16"/>
      <c r="M47" s="16"/>
      <c r="N47" s="16"/>
      <c r="O47" s="16"/>
      <c r="P47" s="16"/>
      <c r="Q47" s="16"/>
      <c r="R47" s="16"/>
      <c r="S47" s="16"/>
      <c r="T47" s="16"/>
    </row>
    <row r="48" spans="1:20" s="15" customFormat="1" ht="15" hidden="1" customHeight="1" x14ac:dyDescent="0.2">
      <c r="A48" s="16"/>
      <c r="B48" s="16"/>
      <c r="C48" s="16"/>
      <c r="D48" s="16"/>
      <c r="E48" s="16"/>
      <c r="F48" s="16"/>
      <c r="G48" s="16"/>
      <c r="H48" s="16"/>
      <c r="I48" s="16"/>
      <c r="J48" s="16"/>
      <c r="K48" s="16"/>
      <c r="L48" s="16"/>
      <c r="M48" s="16"/>
      <c r="N48" s="16"/>
      <c r="O48" s="16"/>
      <c r="P48" s="16"/>
      <c r="Q48" s="16"/>
      <c r="R48" s="16"/>
      <c r="S48" s="16"/>
      <c r="T48" s="16"/>
    </row>
    <row r="49" spans="1:20" s="15" customFormat="1" ht="15" hidden="1" customHeight="1" x14ac:dyDescent="0.2">
      <c r="A49" s="16"/>
      <c r="B49" s="16" t="s">
        <v>1089</v>
      </c>
      <c r="C49" s="16"/>
      <c r="D49" s="16"/>
      <c r="E49" s="16"/>
      <c r="F49" s="16"/>
      <c r="G49" s="16"/>
      <c r="H49" s="16"/>
      <c r="I49" s="16"/>
      <c r="J49" s="16"/>
      <c r="K49" s="16"/>
      <c r="L49" s="16"/>
      <c r="M49" s="16"/>
      <c r="N49" s="16"/>
      <c r="O49" s="16"/>
      <c r="P49" s="16"/>
      <c r="Q49" s="16"/>
      <c r="R49" s="16"/>
      <c r="S49" s="16"/>
      <c r="T49" s="16"/>
    </row>
    <row r="50" spans="1:20" s="15" customFormat="1" ht="15" hidden="1" customHeight="1" x14ac:dyDescent="0.2">
      <c r="A50" s="16"/>
      <c r="B50" s="16"/>
      <c r="C50" s="16"/>
      <c r="D50" s="16"/>
      <c r="E50" s="16"/>
      <c r="F50" s="16"/>
      <c r="G50" s="16"/>
      <c r="H50" s="16"/>
      <c r="I50" s="16"/>
      <c r="J50" s="16"/>
      <c r="K50" s="16"/>
      <c r="L50" s="16"/>
      <c r="M50" s="16"/>
      <c r="N50" s="16"/>
      <c r="O50" s="16"/>
      <c r="P50" s="16"/>
      <c r="Q50" s="16"/>
      <c r="R50" s="16"/>
      <c r="S50" s="16"/>
      <c r="T50" s="16"/>
    </row>
    <row r="51" spans="1:20" s="15" customFormat="1" ht="39" customHeight="1" x14ac:dyDescent="0.2">
      <c r="A51" s="16"/>
      <c r="B51" s="2148" t="s">
        <v>1090</v>
      </c>
      <c r="C51" s="2148"/>
      <c r="D51" s="2148"/>
      <c r="E51" s="2148"/>
      <c r="F51" s="2148"/>
      <c r="G51" s="2148"/>
      <c r="H51" s="2148"/>
      <c r="I51" s="2148"/>
      <c r="J51" s="2148"/>
      <c r="K51" s="2148"/>
      <c r="L51" s="2148"/>
      <c r="M51" s="2148"/>
      <c r="N51" s="2148"/>
      <c r="O51" s="2148"/>
      <c r="P51" s="2148"/>
      <c r="Q51" s="2148"/>
      <c r="R51" s="2148"/>
      <c r="S51" s="2148"/>
      <c r="T51" s="16"/>
    </row>
    <row r="52" spans="1:20" s="15" customFormat="1" ht="21" customHeight="1" x14ac:dyDescent="0.2">
      <c r="A52" s="378"/>
      <c r="B52" s="378"/>
      <c r="C52" s="378"/>
      <c r="D52" s="378"/>
      <c r="E52" s="378"/>
      <c r="F52" s="378"/>
      <c r="G52" s="378"/>
      <c r="H52" s="378"/>
      <c r="I52" s="378"/>
      <c r="J52" s="378"/>
      <c r="K52" s="378"/>
      <c r="L52" s="378"/>
      <c r="M52" s="378"/>
      <c r="N52" s="378"/>
      <c r="O52" s="378"/>
      <c r="P52" s="378"/>
      <c r="Q52" s="378"/>
      <c r="R52" s="378"/>
      <c r="S52" s="378"/>
      <c r="T52" s="378"/>
    </row>
    <row r="53" spans="1:20" s="15" customFormat="1" ht="21.75" customHeight="1" x14ac:dyDescent="0.2">
      <c r="A53" s="2150" t="s">
        <v>2015</v>
      </c>
      <c r="B53" s="2150"/>
      <c r="C53" s="2150"/>
      <c r="D53" s="2150"/>
      <c r="E53" s="2150"/>
      <c r="F53" s="2150"/>
      <c r="G53" s="17"/>
      <c r="H53" s="17"/>
      <c r="I53" s="17"/>
      <c r="J53" s="17"/>
      <c r="K53" s="17"/>
      <c r="L53" s="17"/>
      <c r="M53" s="17"/>
      <c r="N53" s="17"/>
      <c r="O53" s="17"/>
      <c r="P53" s="17"/>
      <c r="Q53" s="17"/>
      <c r="R53" s="17"/>
      <c r="S53" s="17"/>
      <c r="T53" s="17"/>
    </row>
    <row r="54" spans="1:20" s="15" customFormat="1" ht="13.5" customHeight="1" x14ac:dyDescent="0.2">
      <c r="A54" s="16"/>
      <c r="B54" s="16"/>
      <c r="C54" s="16"/>
      <c r="D54" s="17"/>
      <c r="E54" s="17"/>
      <c r="F54" s="17"/>
      <c r="G54" s="17"/>
      <c r="H54" s="17"/>
      <c r="I54" s="17"/>
      <c r="J54" s="17"/>
      <c r="K54" s="17"/>
      <c r="L54" s="17"/>
      <c r="M54" s="17"/>
      <c r="N54" s="17"/>
      <c r="O54" s="17"/>
      <c r="P54" s="17"/>
      <c r="Q54" s="17"/>
      <c r="R54" s="17"/>
      <c r="S54" s="17"/>
      <c r="T54" s="17"/>
    </row>
    <row r="55" spans="1:20" s="15" customFormat="1" ht="15" customHeight="1" x14ac:dyDescent="0.2">
      <c r="A55" s="16"/>
      <c r="B55" s="16"/>
      <c r="C55" s="16"/>
      <c r="D55" s="17"/>
      <c r="E55" s="17"/>
      <c r="F55" s="17"/>
      <c r="G55" s="17"/>
      <c r="H55" s="17"/>
      <c r="I55" s="17"/>
      <c r="J55" s="17"/>
      <c r="K55" s="17"/>
      <c r="L55" s="17"/>
      <c r="M55" s="17"/>
      <c r="N55" s="17"/>
      <c r="O55" s="17"/>
      <c r="P55" s="17"/>
      <c r="Q55" s="17"/>
      <c r="R55" s="17"/>
      <c r="S55" s="17"/>
      <c r="T55" s="17"/>
    </row>
    <row r="56" spans="1:20" s="15" customFormat="1" ht="15" customHeight="1" x14ac:dyDescent="0.2">
      <c r="A56" s="16"/>
      <c r="B56" s="16"/>
      <c r="C56" s="16"/>
      <c r="D56" s="17"/>
      <c r="E56" s="17"/>
      <c r="F56" s="17"/>
      <c r="G56" s="17"/>
      <c r="H56" s="17"/>
      <c r="I56" s="17"/>
      <c r="J56" s="543"/>
      <c r="K56" s="543"/>
      <c r="L56" s="543"/>
      <c r="M56" s="543"/>
      <c r="N56" s="543"/>
      <c r="O56" s="543"/>
      <c r="P56" s="543"/>
      <c r="Q56" s="543"/>
      <c r="R56" s="17"/>
      <c r="S56" s="17"/>
      <c r="T56" s="543"/>
    </row>
    <row r="57" spans="1:20" s="15" customFormat="1" ht="15" customHeight="1" x14ac:dyDescent="0.2">
      <c r="A57" s="16"/>
      <c r="B57" s="16"/>
      <c r="C57" s="16"/>
      <c r="D57" s="17"/>
      <c r="E57" s="17"/>
      <c r="F57" s="17"/>
      <c r="G57" s="17"/>
      <c r="H57" s="17"/>
      <c r="I57" s="17"/>
      <c r="J57" s="2147" t="s">
        <v>1019</v>
      </c>
      <c r="K57" s="2147"/>
      <c r="L57" s="2147"/>
      <c r="M57" s="2147"/>
      <c r="N57" s="2147"/>
      <c r="O57" s="2147"/>
      <c r="P57" s="2147"/>
      <c r="Q57" s="2147"/>
      <c r="R57" s="2147"/>
      <c r="S57" s="2147"/>
      <c r="T57" s="17"/>
    </row>
    <row r="58" spans="1:20" s="15" customFormat="1" ht="15" customHeight="1" x14ac:dyDescent="0.2">
      <c r="A58" s="16"/>
      <c r="B58" s="16"/>
      <c r="C58" s="16"/>
      <c r="D58" s="17"/>
      <c r="E58" s="17"/>
      <c r="F58" s="17"/>
      <c r="G58" s="17"/>
      <c r="H58" s="17"/>
      <c r="I58" s="17"/>
      <c r="J58" s="2147"/>
      <c r="K58" s="2147"/>
      <c r="L58" s="2147"/>
      <c r="M58" s="2147"/>
      <c r="N58" s="2147"/>
      <c r="O58" s="2147"/>
      <c r="P58" s="2147"/>
      <c r="Q58" s="2147"/>
      <c r="R58" s="2147"/>
      <c r="S58" s="2147"/>
      <c r="T58" s="17"/>
    </row>
    <row r="59" spans="1:20" s="15" customFormat="1" ht="15" customHeight="1" x14ac:dyDescent="0.2">
      <c r="A59" s="16"/>
      <c r="B59" s="16"/>
      <c r="C59" s="16"/>
      <c r="D59" s="17"/>
      <c r="E59" s="17"/>
      <c r="F59" s="17"/>
      <c r="G59" s="17"/>
      <c r="H59" s="17"/>
      <c r="I59" s="17"/>
      <c r="J59" s="2147"/>
      <c r="K59" s="2147"/>
      <c r="L59" s="2147"/>
      <c r="M59" s="2147"/>
      <c r="N59" s="2147"/>
      <c r="O59" s="2147"/>
      <c r="P59" s="2147"/>
      <c r="Q59" s="2147"/>
      <c r="R59" s="2147"/>
      <c r="S59" s="2147"/>
      <c r="T59" s="17"/>
    </row>
    <row r="60" spans="1:20" s="15" customFormat="1" ht="15" customHeight="1" x14ac:dyDescent="0.2">
      <c r="A60" s="16"/>
      <c r="B60" s="16"/>
      <c r="C60" s="16"/>
      <c r="D60" s="17"/>
      <c r="E60" s="17"/>
      <c r="F60" s="17"/>
      <c r="G60" s="17"/>
      <c r="H60" s="17"/>
      <c r="I60" s="17"/>
      <c r="J60" s="2147"/>
      <c r="K60" s="2147"/>
      <c r="L60" s="2147"/>
      <c r="M60" s="2147"/>
      <c r="N60" s="2147"/>
      <c r="O60" s="2147"/>
      <c r="P60" s="2147"/>
      <c r="Q60" s="2147"/>
      <c r="R60" s="2147"/>
      <c r="S60" s="2147"/>
      <c r="T60" s="17"/>
    </row>
    <row r="61" spans="1:20" s="15" customFormat="1" ht="15" customHeight="1" x14ac:dyDescent="0.2">
      <c r="A61" s="16"/>
      <c r="B61" s="16"/>
      <c r="C61" s="16"/>
      <c r="D61" s="17"/>
      <c r="E61" s="17"/>
      <c r="F61" s="17"/>
      <c r="G61" s="17"/>
      <c r="H61" s="17"/>
      <c r="I61" s="17"/>
      <c r="J61" s="2147" t="s">
        <v>1020</v>
      </c>
      <c r="K61" s="2147"/>
      <c r="L61" s="2147"/>
      <c r="M61" s="2147"/>
      <c r="N61" s="2147"/>
      <c r="O61" s="2147"/>
      <c r="P61" s="2147"/>
      <c r="Q61" s="2147"/>
      <c r="R61" s="2147"/>
      <c r="S61" s="2147"/>
      <c r="T61" s="17"/>
    </row>
    <row r="62" spans="1:20" s="15" customFormat="1" ht="15" customHeight="1" x14ac:dyDescent="0.2">
      <c r="A62" s="16"/>
      <c r="B62" s="16"/>
      <c r="C62" s="16"/>
      <c r="D62" s="17"/>
      <c r="E62" s="17"/>
      <c r="F62" s="17"/>
      <c r="G62" s="17"/>
      <c r="H62" s="17"/>
      <c r="I62" s="17"/>
      <c r="J62" s="2147"/>
      <c r="K62" s="2147"/>
      <c r="L62" s="2147"/>
      <c r="M62" s="2147"/>
      <c r="N62" s="2147"/>
      <c r="O62" s="2147"/>
      <c r="P62" s="2147"/>
      <c r="Q62" s="2147"/>
      <c r="R62" s="2147"/>
      <c r="S62" s="2147"/>
      <c r="T62" s="17"/>
    </row>
    <row r="63" spans="1:20" s="15" customFormat="1" ht="15" customHeight="1" x14ac:dyDescent="0.2">
      <c r="A63" s="16"/>
      <c r="B63" s="16"/>
      <c r="C63" s="16"/>
      <c r="D63" s="17"/>
      <c r="E63" s="17"/>
      <c r="F63" s="17"/>
      <c r="G63" s="17"/>
      <c r="H63" s="17"/>
      <c r="I63" s="17"/>
      <c r="J63" s="2147"/>
      <c r="K63" s="2147"/>
      <c r="L63" s="2147"/>
      <c r="M63" s="2147"/>
      <c r="N63" s="2147"/>
      <c r="O63" s="2147"/>
      <c r="P63" s="2147"/>
      <c r="Q63" s="2147"/>
      <c r="R63" s="2147"/>
      <c r="S63" s="2147"/>
      <c r="T63" s="17"/>
    </row>
    <row r="64" spans="1:20" s="15" customFormat="1" ht="15" customHeight="1" x14ac:dyDescent="0.2">
      <c r="A64" s="16"/>
      <c r="B64" s="16"/>
      <c r="C64" s="16"/>
      <c r="D64" s="17"/>
      <c r="E64" s="17"/>
      <c r="F64" s="17"/>
      <c r="G64" s="17"/>
      <c r="H64" s="17"/>
      <c r="I64" s="17"/>
      <c r="J64" s="2147"/>
      <c r="K64" s="2147"/>
      <c r="L64" s="2147"/>
      <c r="M64" s="2147"/>
      <c r="N64" s="2147"/>
      <c r="O64" s="2147"/>
      <c r="P64" s="2147"/>
      <c r="Q64" s="2147"/>
      <c r="R64" s="2147"/>
      <c r="S64" s="2147"/>
      <c r="T64" s="17"/>
    </row>
    <row r="65" spans="1:20" s="15" customFormat="1" ht="15" customHeight="1" x14ac:dyDescent="0.2">
      <c r="A65" s="16"/>
      <c r="B65" s="16"/>
      <c r="C65" s="16"/>
      <c r="D65" s="17"/>
      <c r="E65" s="17"/>
      <c r="F65" s="17"/>
      <c r="G65" s="17"/>
      <c r="H65" s="17"/>
      <c r="I65" s="17"/>
      <c r="J65" s="2147" t="s">
        <v>2176</v>
      </c>
      <c r="K65" s="2147"/>
      <c r="L65" s="2147"/>
      <c r="M65" s="2147"/>
      <c r="N65" s="2147"/>
      <c r="O65" s="2147"/>
      <c r="P65" s="2147"/>
      <c r="Q65" s="2147"/>
      <c r="R65" s="2147"/>
      <c r="S65" s="2147"/>
      <c r="T65" s="17"/>
    </row>
    <row r="66" spans="1:20" s="15" customFormat="1" ht="15" customHeight="1" x14ac:dyDescent="0.2">
      <c r="A66" s="16"/>
      <c r="B66" s="16"/>
      <c r="C66" s="16"/>
      <c r="D66" s="17"/>
      <c r="E66" s="17"/>
      <c r="F66" s="17"/>
      <c r="G66" s="17"/>
      <c r="H66" s="17"/>
      <c r="I66" s="17"/>
      <c r="J66" s="2147"/>
      <c r="K66" s="2147"/>
      <c r="L66" s="2147"/>
      <c r="M66" s="2147"/>
      <c r="N66" s="2147"/>
      <c r="O66" s="2147"/>
      <c r="P66" s="2147"/>
      <c r="Q66" s="2147"/>
      <c r="R66" s="2147"/>
      <c r="S66" s="2147"/>
      <c r="T66" s="17"/>
    </row>
    <row r="67" spans="1:20" s="15" customFormat="1" ht="15.75" customHeight="1" x14ac:dyDescent="0.2">
      <c r="A67" s="16"/>
      <c r="B67" s="16"/>
      <c r="C67" s="16"/>
      <c r="D67" s="17"/>
      <c r="E67" s="17"/>
      <c r="F67" s="17"/>
      <c r="G67" s="17"/>
      <c r="H67" s="17"/>
      <c r="I67" s="17"/>
      <c r="J67" s="2147"/>
      <c r="K67" s="2147"/>
      <c r="L67" s="2147"/>
      <c r="M67" s="2147"/>
      <c r="N67" s="2147"/>
      <c r="O67" s="2147"/>
      <c r="P67" s="2147"/>
      <c r="Q67" s="2147"/>
      <c r="R67" s="2147"/>
      <c r="S67" s="2147"/>
      <c r="T67" s="17"/>
    </row>
    <row r="68" spans="1:20" s="15" customFormat="1" ht="15" customHeight="1" x14ac:dyDescent="0.2">
      <c r="A68" s="16"/>
      <c r="B68" s="16"/>
      <c r="C68" s="16"/>
      <c r="D68" s="17"/>
      <c r="E68" s="17"/>
      <c r="F68" s="17"/>
      <c r="G68" s="17"/>
      <c r="H68" s="17"/>
      <c r="I68" s="17"/>
      <c r="J68" s="2147" t="s">
        <v>2175</v>
      </c>
      <c r="K68" s="2147"/>
      <c r="L68" s="2147"/>
      <c r="M68" s="2147"/>
      <c r="N68" s="2147"/>
      <c r="O68" s="2147"/>
      <c r="P68" s="2147"/>
      <c r="Q68" s="2147"/>
      <c r="R68" s="2147"/>
      <c r="S68" s="2147"/>
      <c r="T68" s="17"/>
    </row>
    <row r="69" spans="1:20" s="15" customFormat="1" ht="15" customHeight="1" x14ac:dyDescent="0.2">
      <c r="A69" s="16"/>
      <c r="B69" s="16"/>
      <c r="C69" s="16"/>
      <c r="D69" s="17"/>
      <c r="E69" s="17"/>
      <c r="F69" s="17"/>
      <c r="G69" s="17"/>
      <c r="H69" s="17"/>
      <c r="I69" s="17"/>
      <c r="J69" s="2147"/>
      <c r="K69" s="2147"/>
      <c r="L69" s="2147"/>
      <c r="M69" s="2147"/>
      <c r="N69" s="2147"/>
      <c r="O69" s="2147"/>
      <c r="P69" s="2147"/>
      <c r="Q69" s="2147"/>
      <c r="R69" s="2147"/>
      <c r="S69" s="2147"/>
      <c r="T69" s="17"/>
    </row>
    <row r="70" spans="1:20" s="15" customFormat="1" ht="15" customHeight="1" x14ac:dyDescent="0.2">
      <c r="A70" s="16"/>
      <c r="B70" s="16"/>
      <c r="C70" s="16"/>
      <c r="D70" s="17"/>
      <c r="E70" s="17"/>
      <c r="F70" s="17"/>
      <c r="G70" s="17"/>
      <c r="H70" s="17"/>
      <c r="I70" s="17"/>
      <c r="J70" s="2147"/>
      <c r="K70" s="2147"/>
      <c r="L70" s="2147"/>
      <c r="M70" s="2147"/>
      <c r="N70" s="2147"/>
      <c r="O70" s="2147"/>
      <c r="P70" s="2147"/>
      <c r="Q70" s="2147"/>
      <c r="R70" s="2147"/>
      <c r="S70" s="2147"/>
      <c r="T70" s="17"/>
    </row>
    <row r="71" spans="1:20" s="15" customFormat="1" ht="15" customHeight="1" x14ac:dyDescent="0.2">
      <c r="A71" s="16"/>
      <c r="B71" s="16"/>
      <c r="C71" s="16"/>
      <c r="D71" s="17"/>
      <c r="E71" s="17"/>
      <c r="F71" s="17"/>
      <c r="G71" s="17"/>
      <c r="H71" s="17"/>
      <c r="I71" s="17"/>
      <c r="J71" s="2147" t="s">
        <v>2174</v>
      </c>
      <c r="K71" s="2147"/>
      <c r="L71" s="2147"/>
      <c r="M71" s="2147"/>
      <c r="N71" s="2147"/>
      <c r="O71" s="2147"/>
      <c r="P71" s="2147"/>
      <c r="Q71" s="2147"/>
      <c r="R71" s="2147"/>
      <c r="S71" s="2147"/>
      <c r="T71" s="17"/>
    </row>
    <row r="72" spans="1:20" s="15" customFormat="1" ht="15" customHeight="1" x14ac:dyDescent="0.2">
      <c r="A72" s="16"/>
      <c r="B72" s="16"/>
      <c r="C72" s="16"/>
      <c r="D72" s="17"/>
      <c r="E72" s="17"/>
      <c r="F72" s="17"/>
      <c r="G72" s="17"/>
      <c r="H72" s="17"/>
      <c r="I72" s="17"/>
      <c r="J72" s="2147"/>
      <c r="K72" s="2147"/>
      <c r="L72" s="2147"/>
      <c r="M72" s="2147"/>
      <c r="N72" s="2147"/>
      <c r="O72" s="2147"/>
      <c r="P72" s="2147"/>
      <c r="Q72" s="2147"/>
      <c r="R72" s="2147"/>
      <c r="S72" s="2147"/>
      <c r="T72" s="17"/>
    </row>
    <row r="73" spans="1:20" s="15" customFormat="1" ht="15" customHeight="1" x14ac:dyDescent="0.2">
      <c r="A73" s="16"/>
      <c r="B73" s="16"/>
      <c r="C73" s="16"/>
      <c r="D73" s="17"/>
      <c r="E73" s="17"/>
      <c r="F73" s="17"/>
      <c r="G73" s="17"/>
      <c r="H73" s="17"/>
      <c r="I73" s="17"/>
      <c r="J73" s="2147"/>
      <c r="K73" s="2147"/>
      <c r="L73" s="2147"/>
      <c r="M73" s="2147"/>
      <c r="N73" s="2147"/>
      <c r="O73" s="2147"/>
      <c r="P73" s="2147"/>
      <c r="Q73" s="2147"/>
      <c r="R73" s="2147"/>
      <c r="S73" s="2147"/>
      <c r="T73" s="17"/>
    </row>
    <row r="74" spans="1:20" s="15" customFormat="1" ht="15" customHeight="1" x14ac:dyDescent="0.2">
      <c r="A74" s="16"/>
      <c r="B74" s="16"/>
      <c r="C74" s="16"/>
      <c r="D74" s="17"/>
      <c r="E74" s="17"/>
      <c r="F74" s="17"/>
      <c r="G74" s="17"/>
      <c r="H74" s="17"/>
      <c r="I74" s="17"/>
      <c r="J74" s="2147" t="s">
        <v>2173</v>
      </c>
      <c r="K74" s="2147"/>
      <c r="L74" s="2147"/>
      <c r="M74" s="2147"/>
      <c r="N74" s="2147"/>
      <c r="O74" s="2147"/>
      <c r="P74" s="2147"/>
      <c r="Q74" s="2147"/>
      <c r="R74" s="2147"/>
      <c r="S74" s="2147"/>
      <c r="T74" s="17"/>
    </row>
    <row r="75" spans="1:20" s="15" customFormat="1" ht="15" customHeight="1" x14ac:dyDescent="0.2">
      <c r="A75" s="16"/>
      <c r="B75" s="16"/>
      <c r="C75" s="16"/>
      <c r="D75" s="17"/>
      <c r="E75" s="17"/>
      <c r="F75" s="17"/>
      <c r="G75" s="17"/>
      <c r="H75" s="17"/>
      <c r="I75" s="17"/>
      <c r="J75" s="2147"/>
      <c r="K75" s="2147"/>
      <c r="L75" s="2147"/>
      <c r="M75" s="2147"/>
      <c r="N75" s="2147"/>
      <c r="O75" s="2147"/>
      <c r="P75" s="2147"/>
      <c r="Q75" s="2147"/>
      <c r="R75" s="2147"/>
      <c r="S75" s="2147"/>
      <c r="T75" s="17"/>
    </row>
    <row r="76" spans="1:20" s="15" customFormat="1" ht="15" customHeight="1" x14ac:dyDescent="0.2">
      <c r="A76" s="16"/>
      <c r="B76" s="16"/>
      <c r="C76" s="16"/>
      <c r="D76" s="17"/>
      <c r="E76" s="17"/>
      <c r="F76" s="17"/>
      <c r="G76" s="17"/>
      <c r="H76" s="17"/>
      <c r="I76" s="17"/>
      <c r="J76" s="2147"/>
      <c r="K76" s="2147"/>
      <c r="L76" s="2147"/>
      <c r="M76" s="2147"/>
      <c r="N76" s="2147"/>
      <c r="O76" s="2147"/>
      <c r="P76" s="2147"/>
      <c r="Q76" s="2147"/>
      <c r="R76" s="2147"/>
      <c r="S76" s="2147"/>
      <c r="T76" s="17"/>
    </row>
    <row r="77" spans="1:20" s="15" customFormat="1" ht="15" customHeight="1" x14ac:dyDescent="0.2">
      <c r="A77" s="16"/>
      <c r="B77" s="16"/>
      <c r="C77" s="16"/>
      <c r="D77" s="17"/>
      <c r="E77" s="17"/>
      <c r="F77" s="17"/>
      <c r="G77" s="17"/>
      <c r="H77" s="17"/>
      <c r="I77" s="17"/>
      <c r="J77" s="17"/>
      <c r="K77" s="17"/>
      <c r="L77" s="17"/>
      <c r="M77" s="17"/>
      <c r="N77" s="17"/>
      <c r="O77" s="17"/>
      <c r="P77" s="17"/>
      <c r="Q77" s="17"/>
      <c r="R77" s="17"/>
      <c r="S77" s="17"/>
      <c r="T77" s="17"/>
    </row>
    <row r="78" spans="1:20" s="15" customFormat="1" ht="15" customHeight="1" x14ac:dyDescent="0.2">
      <c r="A78" s="16"/>
      <c r="B78" s="16"/>
      <c r="C78" s="16"/>
      <c r="D78" s="17"/>
      <c r="E78" s="17"/>
      <c r="F78" s="17"/>
      <c r="G78" s="17"/>
      <c r="H78" s="17"/>
      <c r="I78" s="17"/>
      <c r="J78" s="17"/>
      <c r="K78" s="17"/>
      <c r="L78" s="17"/>
      <c r="M78" s="17"/>
      <c r="N78" s="17"/>
      <c r="O78" s="17"/>
      <c r="P78" s="17"/>
      <c r="Q78" s="17"/>
      <c r="R78" s="17"/>
      <c r="S78" s="17"/>
      <c r="T78" s="17"/>
    </row>
    <row r="79" spans="1:20" s="15" customFormat="1" ht="15" customHeight="1" x14ac:dyDescent="0.2">
      <c r="A79" s="16"/>
      <c r="B79" s="16"/>
      <c r="C79" s="16"/>
      <c r="D79" s="17"/>
      <c r="E79" s="17"/>
      <c r="F79" s="17"/>
      <c r="G79" s="17"/>
      <c r="H79" s="17"/>
      <c r="I79" s="17"/>
      <c r="J79" s="17"/>
      <c r="K79" s="17"/>
      <c r="L79" s="17"/>
      <c r="M79" s="17"/>
      <c r="N79" s="17"/>
      <c r="O79" s="17"/>
      <c r="P79" s="17"/>
      <c r="Q79" s="17"/>
      <c r="R79" s="17"/>
      <c r="S79" s="17"/>
      <c r="T79" s="17"/>
    </row>
    <row r="80" spans="1:20" s="15" customFormat="1" ht="21" customHeight="1" x14ac:dyDescent="0.2">
      <c r="A80" s="378"/>
      <c r="B80" s="378"/>
      <c r="C80" s="378"/>
      <c r="D80" s="378"/>
      <c r="E80" s="378"/>
      <c r="F80" s="378"/>
      <c r="G80" s="378"/>
      <c r="H80" s="378"/>
      <c r="I80" s="378"/>
      <c r="J80" s="378"/>
      <c r="K80" s="378"/>
      <c r="L80" s="378"/>
      <c r="M80" s="378"/>
      <c r="N80" s="378"/>
      <c r="O80" s="378"/>
      <c r="P80" s="378"/>
      <c r="Q80" s="378"/>
      <c r="R80" s="378"/>
      <c r="S80" s="378"/>
      <c r="T80" s="378"/>
    </row>
    <row r="81" spans="1:20" s="15" customFormat="1" ht="21" customHeight="1" x14ac:dyDescent="0.2">
      <c r="A81" s="2150" t="s">
        <v>2013</v>
      </c>
      <c r="B81" s="2150"/>
      <c r="C81" s="2150"/>
      <c r="D81" s="2150"/>
      <c r="E81" s="2150"/>
      <c r="F81" s="2150"/>
      <c r="G81" s="16"/>
      <c r="H81" s="16"/>
      <c r="I81" s="16"/>
      <c r="J81" s="16"/>
      <c r="K81" s="16"/>
      <c r="L81" s="16"/>
      <c r="M81" s="16"/>
      <c r="N81" s="16"/>
      <c r="O81" s="16"/>
      <c r="P81" s="16"/>
      <c r="Q81" s="16"/>
      <c r="R81" s="16"/>
      <c r="S81" s="16"/>
      <c r="T81" s="16"/>
    </row>
    <row r="82" spans="1:20" s="15" customFormat="1" ht="15" customHeight="1" x14ac:dyDescent="0.2">
      <c r="A82" s="16"/>
      <c r="B82" s="16"/>
      <c r="C82" s="16"/>
      <c r="D82" s="16"/>
      <c r="E82" s="16"/>
      <c r="F82" s="16"/>
      <c r="G82" s="16"/>
      <c r="H82" s="16"/>
      <c r="I82" s="16"/>
      <c r="J82" s="16"/>
      <c r="K82" s="16"/>
      <c r="L82" s="16"/>
      <c r="M82" s="16"/>
      <c r="N82" s="16"/>
      <c r="O82" s="16"/>
      <c r="P82" s="16"/>
      <c r="Q82" s="16"/>
      <c r="R82" s="16"/>
      <c r="S82" s="16"/>
      <c r="T82" s="16"/>
    </row>
    <row r="83" spans="1:20" s="926" customFormat="1" ht="30" customHeight="1" x14ac:dyDescent="0.25">
      <c r="A83" s="925"/>
      <c r="B83" s="2148" t="s">
        <v>1737</v>
      </c>
      <c r="C83" s="2148"/>
      <c r="D83" s="2148"/>
      <c r="E83" s="2148"/>
      <c r="F83" s="2148"/>
      <c r="G83" s="2148"/>
      <c r="H83" s="2148"/>
      <c r="I83" s="2148"/>
      <c r="J83" s="2148"/>
      <c r="K83" s="2148"/>
      <c r="L83" s="2148"/>
      <c r="M83" s="2148"/>
      <c r="N83" s="2148"/>
      <c r="O83" s="2148"/>
      <c r="P83" s="2148"/>
      <c r="Q83" s="2148"/>
      <c r="R83" s="2148"/>
      <c r="S83" s="925"/>
    </row>
    <row r="84" spans="1:20" s="15" customFormat="1" ht="12" customHeight="1" x14ac:dyDescent="0.2">
      <c r="A84" s="16"/>
      <c r="B84" s="16"/>
      <c r="C84" s="16"/>
      <c r="D84" s="16"/>
      <c r="E84" s="16"/>
      <c r="F84" s="16"/>
      <c r="G84" s="16"/>
      <c r="H84" s="16"/>
      <c r="I84" s="16"/>
      <c r="J84" s="16"/>
      <c r="K84" s="16"/>
      <c r="L84" s="16"/>
      <c r="M84" s="16"/>
      <c r="N84" s="16"/>
      <c r="O84" s="16"/>
      <c r="P84" s="16"/>
      <c r="Q84" s="16"/>
      <c r="R84" s="16"/>
      <c r="S84" s="16"/>
      <c r="T84" s="16"/>
    </row>
    <row r="85" spans="1:20" s="926" customFormat="1" ht="30" customHeight="1" x14ac:dyDescent="0.25">
      <c r="A85" s="925"/>
      <c r="B85" s="2148" t="s">
        <v>1736</v>
      </c>
      <c r="C85" s="2148"/>
      <c r="D85" s="2148"/>
      <c r="E85" s="2148"/>
      <c r="F85" s="2148"/>
      <c r="G85" s="2148"/>
      <c r="H85" s="2148"/>
      <c r="I85" s="2148"/>
      <c r="J85" s="2148"/>
      <c r="K85" s="2148"/>
      <c r="L85" s="2148"/>
      <c r="M85" s="2148"/>
      <c r="N85" s="2148"/>
      <c r="O85" s="2148"/>
      <c r="P85" s="2148"/>
      <c r="Q85" s="2148"/>
      <c r="R85" s="2148"/>
      <c r="S85" s="925"/>
    </row>
    <row r="86" spans="1:20" s="15" customFormat="1" ht="12" customHeight="1" x14ac:dyDescent="0.2">
      <c r="A86" s="16"/>
      <c r="B86" s="16"/>
      <c r="C86" s="16"/>
      <c r="D86" s="16"/>
      <c r="E86" s="16"/>
      <c r="F86" s="16"/>
      <c r="G86" s="16"/>
      <c r="H86" s="16"/>
      <c r="I86" s="16"/>
      <c r="J86" s="16"/>
      <c r="K86" s="16"/>
      <c r="L86" s="16"/>
      <c r="M86" s="16"/>
      <c r="N86" s="16"/>
      <c r="O86" s="16"/>
      <c r="P86" s="16"/>
      <c r="Q86" s="16"/>
      <c r="R86" s="16"/>
      <c r="S86" s="16"/>
      <c r="T86" s="16"/>
    </row>
    <row r="87" spans="1:20" s="926" customFormat="1" ht="30" customHeight="1" x14ac:dyDescent="0.25">
      <c r="A87" s="925"/>
      <c r="B87" s="2148" t="s">
        <v>1735</v>
      </c>
      <c r="C87" s="2148"/>
      <c r="D87" s="2148"/>
      <c r="E87" s="2148"/>
      <c r="F87" s="2148"/>
      <c r="G87" s="2148"/>
      <c r="H87" s="2148"/>
      <c r="I87" s="2148"/>
      <c r="J87" s="2148"/>
      <c r="K87" s="2148"/>
      <c r="L87" s="2148"/>
      <c r="M87" s="2148"/>
      <c r="N87" s="2148"/>
      <c r="O87" s="2148"/>
      <c r="P87" s="2148"/>
      <c r="Q87" s="2148"/>
      <c r="R87" s="2148"/>
      <c r="S87" s="925"/>
    </row>
    <row r="88" spans="1:20" s="15" customFormat="1" ht="12" customHeight="1" x14ac:dyDescent="0.2">
      <c r="A88" s="16"/>
      <c r="B88" s="16"/>
      <c r="C88" s="16"/>
      <c r="D88" s="16"/>
      <c r="E88" s="16"/>
      <c r="F88" s="16"/>
      <c r="G88" s="16"/>
      <c r="H88" s="16"/>
      <c r="I88" s="16"/>
      <c r="J88" s="16"/>
      <c r="K88" s="16"/>
      <c r="L88" s="16"/>
      <c r="M88" s="16"/>
      <c r="N88" s="16"/>
      <c r="O88" s="16"/>
      <c r="P88" s="16"/>
      <c r="Q88" s="16"/>
      <c r="R88" s="16"/>
      <c r="S88" s="16"/>
      <c r="T88" s="16"/>
    </row>
    <row r="89" spans="1:20" s="15" customFormat="1" ht="27.75" customHeight="1" x14ac:dyDescent="0.2">
      <c r="A89" s="16"/>
      <c r="B89" s="2148" t="s">
        <v>1977</v>
      </c>
      <c r="C89" s="2148"/>
      <c r="D89" s="2148"/>
      <c r="E89" s="2148"/>
      <c r="F89" s="2148"/>
      <c r="G89" s="2148"/>
      <c r="H89" s="2148"/>
      <c r="I89" s="2148"/>
      <c r="J89" s="2148"/>
      <c r="K89" s="2148"/>
      <c r="L89" s="2148"/>
      <c r="M89" s="2148"/>
      <c r="N89" s="2148"/>
      <c r="O89" s="2148"/>
      <c r="P89" s="2148"/>
      <c r="Q89" s="2148"/>
      <c r="R89" s="2148"/>
      <c r="S89" s="16"/>
    </row>
    <row r="90" spans="1:20" s="15" customFormat="1" ht="12" customHeight="1" x14ac:dyDescent="0.2">
      <c r="A90" s="16"/>
      <c r="B90" s="16"/>
      <c r="C90" s="16"/>
      <c r="D90" s="16"/>
      <c r="E90" s="16"/>
      <c r="F90" s="16"/>
      <c r="G90" s="16"/>
      <c r="H90" s="16"/>
      <c r="I90" s="16"/>
      <c r="J90" s="16"/>
      <c r="K90" s="16"/>
      <c r="L90" s="16"/>
      <c r="M90" s="16"/>
      <c r="N90" s="16"/>
      <c r="O90" s="16"/>
      <c r="P90" s="16"/>
      <c r="Q90" s="16"/>
      <c r="R90" s="16"/>
      <c r="S90" s="16"/>
      <c r="T90" s="16"/>
    </row>
    <row r="91" spans="1:20" s="926" customFormat="1" ht="30" customHeight="1" x14ac:dyDescent="0.25">
      <c r="A91" s="925"/>
      <c r="B91" s="2148" t="s">
        <v>1734</v>
      </c>
      <c r="C91" s="2148"/>
      <c r="D91" s="2148"/>
      <c r="E91" s="2148"/>
      <c r="F91" s="2148"/>
      <c r="G91" s="2148"/>
      <c r="H91" s="2148"/>
      <c r="I91" s="2148"/>
      <c r="J91" s="2148"/>
      <c r="K91" s="2148"/>
      <c r="L91" s="2148"/>
      <c r="M91" s="2148"/>
      <c r="N91" s="2148"/>
      <c r="O91" s="2148"/>
      <c r="P91" s="2148"/>
      <c r="Q91" s="2148"/>
      <c r="R91" s="2148"/>
      <c r="S91" s="925"/>
    </row>
    <row r="92" spans="1:20" s="15" customFormat="1" ht="12" customHeight="1" x14ac:dyDescent="0.2">
      <c r="A92" s="16"/>
      <c r="B92" s="16"/>
      <c r="C92" s="16"/>
      <c r="D92" s="16"/>
      <c r="E92" s="16"/>
      <c r="F92" s="16"/>
      <c r="G92" s="16"/>
      <c r="H92" s="16"/>
      <c r="I92" s="16"/>
      <c r="J92" s="16"/>
      <c r="K92" s="16"/>
      <c r="L92" s="16"/>
      <c r="M92" s="16"/>
      <c r="N92" s="16"/>
      <c r="O92" s="16"/>
      <c r="P92" s="16"/>
      <c r="Q92" s="16"/>
      <c r="R92" s="16"/>
      <c r="S92" s="16"/>
      <c r="T92" s="16"/>
    </row>
    <row r="93" spans="1:20" s="926" customFormat="1" ht="30" customHeight="1" x14ac:dyDescent="0.25">
      <c r="A93" s="925"/>
      <c r="B93" s="2148" t="s">
        <v>1733</v>
      </c>
      <c r="C93" s="2148"/>
      <c r="D93" s="2148"/>
      <c r="E93" s="2148"/>
      <c r="F93" s="2148"/>
      <c r="G93" s="2148"/>
      <c r="H93" s="2148"/>
      <c r="I93" s="2148"/>
      <c r="J93" s="2148"/>
      <c r="K93" s="2148"/>
      <c r="L93" s="2148"/>
      <c r="M93" s="2148"/>
      <c r="N93" s="2148"/>
      <c r="O93" s="2148"/>
      <c r="P93" s="2148"/>
      <c r="Q93" s="2148"/>
      <c r="R93" s="2148"/>
      <c r="S93" s="925"/>
    </row>
    <row r="94" spans="1:20" s="15" customFormat="1" ht="12" customHeight="1" x14ac:dyDescent="0.2">
      <c r="A94" s="16"/>
      <c r="B94" s="16"/>
      <c r="C94" s="16"/>
      <c r="D94" s="16"/>
      <c r="E94" s="16"/>
      <c r="F94" s="16"/>
      <c r="G94" s="16"/>
      <c r="H94" s="16"/>
      <c r="I94" s="16"/>
      <c r="J94" s="16"/>
      <c r="K94" s="16"/>
      <c r="L94" s="16"/>
      <c r="M94" s="16"/>
      <c r="N94" s="16"/>
      <c r="O94" s="16"/>
      <c r="P94" s="16"/>
      <c r="Q94" s="16"/>
      <c r="R94" s="16"/>
      <c r="S94" s="16"/>
      <c r="T94" s="16"/>
    </row>
    <row r="95" spans="1:20" s="926" customFormat="1" ht="30" customHeight="1" x14ac:dyDescent="0.25">
      <c r="A95" s="925"/>
      <c r="B95" s="2148" t="s">
        <v>1732</v>
      </c>
      <c r="C95" s="2148"/>
      <c r="D95" s="2148"/>
      <c r="E95" s="2148"/>
      <c r="F95" s="2148"/>
      <c r="G95" s="2148"/>
      <c r="H95" s="2148"/>
      <c r="I95" s="2148"/>
      <c r="J95" s="2148"/>
      <c r="K95" s="2148"/>
      <c r="L95" s="2148"/>
      <c r="M95" s="2148"/>
      <c r="N95" s="2148"/>
      <c r="O95" s="2148"/>
      <c r="P95" s="2148"/>
      <c r="Q95" s="2148"/>
      <c r="R95" s="2148"/>
      <c r="S95" s="925"/>
    </row>
    <row r="96" spans="1:20" s="15" customFormat="1" ht="12" customHeight="1" x14ac:dyDescent="0.2">
      <c r="A96" s="16"/>
      <c r="B96" s="16"/>
      <c r="C96" s="16"/>
      <c r="D96" s="16"/>
      <c r="E96" s="16"/>
      <c r="F96" s="16"/>
      <c r="G96" s="16"/>
      <c r="H96" s="16"/>
      <c r="I96" s="16"/>
      <c r="J96" s="16"/>
      <c r="K96" s="16"/>
      <c r="L96" s="16"/>
      <c r="M96" s="16"/>
      <c r="N96" s="16"/>
      <c r="O96" s="16"/>
      <c r="P96" s="16"/>
      <c r="Q96" s="16"/>
      <c r="R96" s="16"/>
      <c r="S96" s="16"/>
      <c r="T96" s="16"/>
    </row>
    <row r="97" spans="1:20" s="15" customFormat="1" ht="12" customHeight="1" x14ac:dyDescent="0.2">
      <c r="A97" s="16"/>
      <c r="B97" s="2148" t="s">
        <v>1978</v>
      </c>
      <c r="C97" s="2148"/>
      <c r="D97" s="2148"/>
      <c r="E97" s="2148"/>
      <c r="F97" s="2148"/>
      <c r="G97" s="2148"/>
      <c r="H97" s="2148"/>
      <c r="I97" s="2148"/>
      <c r="J97" s="2148"/>
      <c r="K97" s="2148"/>
      <c r="L97" s="2148"/>
      <c r="M97" s="2148"/>
      <c r="N97" s="2148"/>
      <c r="O97" s="2148"/>
      <c r="P97" s="2148"/>
      <c r="Q97" s="2148"/>
      <c r="R97" s="2148"/>
      <c r="S97" s="16"/>
    </row>
    <row r="98" spans="1:20" s="15" customFormat="1" ht="12" customHeight="1" x14ac:dyDescent="0.2">
      <c r="A98" s="16"/>
      <c r="B98" s="16"/>
      <c r="C98" s="16"/>
      <c r="D98" s="16"/>
      <c r="E98" s="16"/>
      <c r="F98" s="16"/>
      <c r="G98" s="16"/>
      <c r="H98" s="16"/>
      <c r="I98" s="16"/>
      <c r="J98" s="16"/>
      <c r="K98" s="16"/>
      <c r="L98" s="16"/>
      <c r="M98" s="16"/>
      <c r="N98" s="16"/>
      <c r="O98" s="16"/>
      <c r="P98" s="16"/>
      <c r="Q98" s="16"/>
      <c r="R98" s="16"/>
      <c r="S98" s="16"/>
      <c r="T98" s="16"/>
    </row>
    <row r="99" spans="1:20" s="926" customFormat="1" ht="51" customHeight="1" x14ac:dyDescent="0.25">
      <c r="A99" s="925"/>
      <c r="B99" s="2148" t="s">
        <v>1731</v>
      </c>
      <c r="C99" s="2148"/>
      <c r="D99" s="2148"/>
      <c r="E99" s="2148"/>
      <c r="F99" s="2148"/>
      <c r="G99" s="2148"/>
      <c r="H99" s="2148"/>
      <c r="I99" s="2148"/>
      <c r="J99" s="2148"/>
      <c r="K99" s="2148"/>
      <c r="L99" s="2148"/>
      <c r="M99" s="2148"/>
      <c r="N99" s="2148"/>
      <c r="O99" s="2148"/>
      <c r="P99" s="2148"/>
      <c r="Q99" s="2148"/>
      <c r="R99" s="2148"/>
      <c r="S99" s="925"/>
    </row>
    <row r="100" spans="1:20" s="15" customFormat="1" ht="12" customHeight="1" x14ac:dyDescent="0.2">
      <c r="A100" s="16"/>
      <c r="B100" s="16"/>
      <c r="C100" s="16"/>
      <c r="D100" s="16"/>
      <c r="E100" s="16"/>
      <c r="F100" s="16"/>
      <c r="G100" s="16"/>
      <c r="H100" s="16"/>
      <c r="I100" s="16"/>
      <c r="J100" s="16"/>
      <c r="K100" s="16"/>
      <c r="L100" s="16"/>
      <c r="M100" s="16"/>
      <c r="N100" s="16"/>
      <c r="O100" s="16"/>
      <c r="P100" s="16"/>
      <c r="Q100" s="16"/>
      <c r="R100" s="16"/>
      <c r="S100" s="16"/>
      <c r="T100" s="16"/>
    </row>
    <row r="101" spans="1:20" s="926" customFormat="1" ht="41.25" customHeight="1" x14ac:dyDescent="0.25">
      <c r="A101" s="925"/>
      <c r="B101" s="2148" t="s">
        <v>1730</v>
      </c>
      <c r="C101" s="2148"/>
      <c r="D101" s="2148"/>
      <c r="E101" s="2148"/>
      <c r="F101" s="2148"/>
      <c r="G101" s="2148"/>
      <c r="H101" s="2148"/>
      <c r="I101" s="2148"/>
      <c r="J101" s="2148"/>
      <c r="K101" s="2148"/>
      <c r="L101" s="2148"/>
      <c r="M101" s="2148"/>
      <c r="N101" s="2148"/>
      <c r="O101" s="2148"/>
      <c r="P101" s="2148"/>
      <c r="Q101" s="2148"/>
      <c r="R101" s="2148"/>
      <c r="S101" s="925"/>
    </row>
    <row r="102" spans="1:20" s="15" customFormat="1" ht="12" customHeight="1" x14ac:dyDescent="0.2">
      <c r="A102" s="16"/>
      <c r="B102" s="16"/>
      <c r="C102" s="16"/>
      <c r="D102" s="16"/>
      <c r="E102" s="16"/>
      <c r="F102" s="16"/>
      <c r="G102" s="16"/>
      <c r="H102" s="16"/>
      <c r="I102" s="16"/>
      <c r="J102" s="16"/>
      <c r="K102" s="16"/>
      <c r="L102" s="16"/>
      <c r="M102" s="16"/>
      <c r="N102" s="16"/>
      <c r="O102" s="16"/>
      <c r="P102" s="16"/>
      <c r="Q102" s="16"/>
      <c r="R102" s="16"/>
      <c r="S102" s="16"/>
      <c r="T102" s="16"/>
    </row>
    <row r="103" spans="1:20" s="15" customFormat="1" ht="15" customHeight="1" x14ac:dyDescent="0.2">
      <c r="A103" s="16"/>
      <c r="B103" s="2153" t="s">
        <v>1729</v>
      </c>
      <c r="C103" s="2153"/>
      <c r="D103" s="2153"/>
      <c r="E103" s="2153"/>
      <c r="F103" s="2153"/>
      <c r="G103" s="2153"/>
      <c r="H103" s="2153"/>
      <c r="I103" s="2153"/>
      <c r="J103" s="2153"/>
      <c r="K103" s="2153"/>
      <c r="L103" s="2153"/>
      <c r="M103" s="2153"/>
      <c r="N103" s="2153"/>
      <c r="O103" s="2153"/>
      <c r="P103" s="2153"/>
      <c r="Q103" s="2153"/>
      <c r="R103" s="2153"/>
      <c r="S103" s="16"/>
    </row>
    <row r="104" spans="1:20" s="15" customFormat="1" ht="12" customHeight="1" x14ac:dyDescent="0.2">
      <c r="A104" s="16"/>
      <c r="B104" s="16"/>
      <c r="C104" s="16"/>
      <c r="D104" s="16"/>
      <c r="E104" s="16"/>
      <c r="F104" s="16"/>
      <c r="G104" s="16"/>
      <c r="H104" s="16"/>
      <c r="I104" s="16"/>
      <c r="J104" s="16"/>
      <c r="K104" s="16"/>
      <c r="L104" s="16"/>
      <c r="M104" s="16"/>
      <c r="N104" s="16"/>
      <c r="O104" s="16"/>
      <c r="P104" s="16"/>
      <c r="Q104" s="16"/>
      <c r="R104" s="16"/>
      <c r="S104" s="16"/>
      <c r="T104" s="16"/>
    </row>
    <row r="105" spans="1:20" s="926" customFormat="1" ht="30" customHeight="1" x14ac:dyDescent="0.25">
      <c r="A105" s="925"/>
      <c r="B105" s="2148" t="s">
        <v>1728</v>
      </c>
      <c r="C105" s="2148"/>
      <c r="D105" s="2148"/>
      <c r="E105" s="2148"/>
      <c r="F105" s="2148"/>
      <c r="G105" s="2148"/>
      <c r="H105" s="2148"/>
      <c r="I105" s="2148"/>
      <c r="J105" s="2148"/>
      <c r="K105" s="2148"/>
      <c r="L105" s="2148"/>
      <c r="M105" s="2148"/>
      <c r="N105" s="2148"/>
      <c r="O105" s="2148"/>
      <c r="P105" s="2148"/>
      <c r="Q105" s="2148"/>
      <c r="R105" s="2148"/>
      <c r="S105" s="925"/>
    </row>
    <row r="106" spans="1:20" s="15" customFormat="1" ht="12" customHeight="1" x14ac:dyDescent="0.2">
      <c r="A106" s="16"/>
      <c r="B106" s="16"/>
      <c r="C106" s="16"/>
      <c r="D106" s="16"/>
      <c r="E106" s="16"/>
      <c r="F106" s="16"/>
      <c r="G106" s="16"/>
      <c r="H106" s="16"/>
      <c r="I106" s="16"/>
      <c r="J106" s="16"/>
      <c r="K106" s="16"/>
      <c r="L106" s="16"/>
      <c r="M106" s="16"/>
      <c r="N106" s="16"/>
      <c r="O106" s="16"/>
      <c r="P106" s="16"/>
      <c r="Q106" s="16"/>
      <c r="R106" s="16"/>
      <c r="S106" s="16"/>
      <c r="T106" s="16"/>
    </row>
    <row r="107" spans="1:20" s="15" customFormat="1" ht="15" customHeight="1" x14ac:dyDescent="0.2">
      <c r="A107" s="16"/>
      <c r="B107" s="16" t="s">
        <v>1727</v>
      </c>
      <c r="C107" s="16"/>
      <c r="D107" s="16"/>
      <c r="E107" s="16"/>
      <c r="F107" s="16"/>
      <c r="G107" s="16"/>
      <c r="H107" s="16"/>
      <c r="I107" s="16"/>
      <c r="J107" s="16"/>
      <c r="K107" s="16"/>
      <c r="L107" s="16"/>
      <c r="M107" s="16"/>
      <c r="N107" s="16"/>
      <c r="O107" s="16"/>
      <c r="P107" s="16"/>
      <c r="Q107" s="16"/>
      <c r="R107" s="16"/>
      <c r="S107" s="16"/>
      <c r="T107" s="16"/>
    </row>
    <row r="108" spans="1:20" s="15" customFormat="1" ht="12" customHeight="1" x14ac:dyDescent="0.2">
      <c r="A108" s="16"/>
      <c r="B108" s="16"/>
      <c r="C108" s="16"/>
      <c r="D108" s="16"/>
      <c r="E108" s="16"/>
      <c r="F108" s="16"/>
      <c r="G108" s="16"/>
      <c r="H108" s="16"/>
      <c r="I108" s="16"/>
      <c r="J108" s="16"/>
      <c r="K108" s="16"/>
      <c r="L108" s="16"/>
      <c r="M108" s="16"/>
      <c r="N108" s="16"/>
      <c r="O108" s="16"/>
      <c r="P108" s="16"/>
      <c r="Q108" s="16"/>
      <c r="R108" s="16"/>
      <c r="S108" s="16"/>
      <c r="T108" s="16"/>
    </row>
    <row r="109" spans="1:20" s="1125" customFormat="1" ht="27" customHeight="1" x14ac:dyDescent="0.2">
      <c r="A109" s="16"/>
      <c r="B109" s="2152" t="s">
        <v>2159</v>
      </c>
      <c r="C109" s="2152"/>
      <c r="D109" s="2152"/>
      <c r="E109" s="2152"/>
      <c r="F109" s="2152"/>
      <c r="G109" s="2152"/>
      <c r="H109" s="2152"/>
      <c r="I109" s="2152"/>
      <c r="J109" s="2152"/>
      <c r="K109" s="2152"/>
      <c r="L109" s="2152"/>
      <c r="M109" s="2152"/>
      <c r="N109" s="2152"/>
      <c r="O109" s="2152"/>
      <c r="P109" s="2152"/>
      <c r="Q109" s="2152"/>
      <c r="R109" s="2152"/>
      <c r="S109" s="16"/>
    </row>
    <row r="110" spans="1:20" s="1125" customFormat="1" ht="12" customHeight="1" x14ac:dyDescent="0.2">
      <c r="A110" s="16"/>
      <c r="B110" s="16"/>
      <c r="C110" s="16"/>
      <c r="D110" s="16"/>
      <c r="E110" s="16"/>
      <c r="F110" s="16"/>
      <c r="G110" s="16"/>
      <c r="H110" s="16"/>
      <c r="I110" s="16"/>
      <c r="J110" s="16"/>
      <c r="K110" s="16"/>
      <c r="L110" s="16"/>
      <c r="M110" s="16"/>
      <c r="N110" s="16"/>
      <c r="O110" s="16"/>
      <c r="P110" s="16"/>
      <c r="Q110" s="16"/>
      <c r="R110" s="16"/>
      <c r="S110" s="16"/>
      <c r="T110" s="16"/>
    </row>
    <row r="111" spans="1:20" s="15" customFormat="1" ht="27" customHeight="1" x14ac:dyDescent="0.2">
      <c r="A111" s="16"/>
      <c r="B111" s="2152" t="s">
        <v>1715</v>
      </c>
      <c r="C111" s="2152"/>
      <c r="D111" s="2152"/>
      <c r="E111" s="2152"/>
      <c r="F111" s="2152"/>
      <c r="G111" s="2152"/>
      <c r="H111" s="2152"/>
      <c r="I111" s="2152"/>
      <c r="J111" s="2152"/>
      <c r="K111" s="2152"/>
      <c r="L111" s="2152"/>
      <c r="M111" s="2152"/>
      <c r="N111" s="2152"/>
      <c r="O111" s="2152"/>
      <c r="P111" s="2152"/>
      <c r="Q111" s="2152"/>
      <c r="R111" s="2152"/>
      <c r="S111" s="16"/>
    </row>
    <row r="112" spans="1:20" s="15" customFormat="1" ht="12" customHeight="1" x14ac:dyDescent="0.2">
      <c r="A112" s="16"/>
      <c r="B112" s="16"/>
      <c r="C112" s="16"/>
      <c r="D112" s="16"/>
      <c r="E112" s="16"/>
      <c r="F112" s="16"/>
      <c r="G112" s="16"/>
      <c r="H112" s="16"/>
      <c r="I112" s="16"/>
      <c r="J112" s="16"/>
      <c r="K112" s="16"/>
      <c r="L112" s="16"/>
      <c r="M112" s="16"/>
      <c r="N112" s="16"/>
      <c r="O112" s="16"/>
      <c r="P112" s="16"/>
      <c r="Q112" s="16"/>
      <c r="R112" s="16"/>
      <c r="S112" s="16"/>
      <c r="T112" s="16"/>
    </row>
    <row r="113" spans="1:20" s="15" customFormat="1" ht="22.5" customHeight="1" x14ac:dyDescent="0.2">
      <c r="A113" s="16"/>
      <c r="B113" s="2152" t="s">
        <v>1716</v>
      </c>
      <c r="C113" s="2152"/>
      <c r="D113" s="2152"/>
      <c r="E113" s="2152"/>
      <c r="F113" s="2152"/>
      <c r="G113" s="2152"/>
      <c r="H113" s="2152"/>
      <c r="I113" s="2152"/>
      <c r="J113" s="2152"/>
      <c r="K113" s="2152"/>
      <c r="L113" s="2152"/>
      <c r="M113" s="2152"/>
      <c r="N113" s="2152"/>
      <c r="O113" s="2152"/>
      <c r="P113" s="2152"/>
      <c r="Q113" s="2152"/>
      <c r="R113" s="2152"/>
      <c r="S113" s="16"/>
    </row>
    <row r="114" spans="1:20" s="15" customFormat="1" ht="12" customHeight="1" x14ac:dyDescent="0.2">
      <c r="A114" s="16"/>
      <c r="B114" s="16"/>
      <c r="C114" s="16"/>
      <c r="D114" s="16"/>
      <c r="E114" s="16"/>
      <c r="F114" s="16"/>
      <c r="G114" s="16"/>
      <c r="H114" s="16"/>
      <c r="I114" s="16"/>
      <c r="J114" s="16"/>
      <c r="K114" s="16"/>
      <c r="L114" s="16"/>
      <c r="M114" s="16"/>
      <c r="N114" s="16"/>
      <c r="O114" s="16"/>
      <c r="P114" s="16"/>
      <c r="Q114" s="16"/>
      <c r="R114" s="16"/>
      <c r="S114" s="16"/>
      <c r="T114" s="16"/>
    </row>
    <row r="115" spans="1:20" s="926" customFormat="1" ht="30" customHeight="1" x14ac:dyDescent="0.25">
      <c r="A115" s="925"/>
      <c r="B115" s="2148" t="s">
        <v>1724</v>
      </c>
      <c r="C115" s="2148"/>
      <c r="D115" s="2148"/>
      <c r="E115" s="2148"/>
      <c r="F115" s="2148"/>
      <c r="G115" s="2148"/>
      <c r="H115" s="2148"/>
      <c r="I115" s="2148"/>
      <c r="J115" s="2148"/>
      <c r="K115" s="2148"/>
      <c r="L115" s="2148"/>
      <c r="M115" s="2148"/>
      <c r="N115" s="2148"/>
      <c r="O115" s="2148"/>
      <c r="P115" s="2148"/>
      <c r="Q115" s="2148"/>
      <c r="R115" s="2148"/>
      <c r="S115" s="925"/>
    </row>
    <row r="116" spans="1:20" s="15" customFormat="1" ht="12" customHeight="1" x14ac:dyDescent="0.2">
      <c r="A116" s="16"/>
      <c r="B116" s="16"/>
      <c r="C116" s="16"/>
      <c r="D116" s="16"/>
      <c r="E116" s="16"/>
      <c r="F116" s="16"/>
      <c r="G116" s="16"/>
      <c r="H116" s="16"/>
      <c r="I116" s="16"/>
      <c r="J116" s="16"/>
      <c r="K116" s="16"/>
      <c r="L116" s="16"/>
      <c r="M116" s="16"/>
      <c r="N116" s="16"/>
      <c r="O116" s="16"/>
      <c r="P116" s="16"/>
      <c r="Q116" s="16"/>
      <c r="R116" s="16"/>
      <c r="S116" s="16"/>
      <c r="T116" s="16"/>
    </row>
    <row r="117" spans="1:20" s="15" customFormat="1" ht="15" customHeight="1" x14ac:dyDescent="0.2">
      <c r="A117" s="16"/>
      <c r="B117" s="16" t="s">
        <v>1725</v>
      </c>
      <c r="C117" s="16"/>
      <c r="D117" s="16"/>
      <c r="E117" s="16"/>
      <c r="F117" s="16"/>
      <c r="G117" s="16"/>
      <c r="H117" s="16"/>
      <c r="I117" s="16"/>
      <c r="J117" s="16"/>
      <c r="K117" s="16"/>
      <c r="L117" s="16"/>
      <c r="M117" s="16"/>
      <c r="N117" s="16"/>
      <c r="O117" s="16"/>
      <c r="P117" s="16"/>
      <c r="Q117" s="16"/>
      <c r="R117" s="16"/>
      <c r="S117" s="16"/>
      <c r="T117" s="16"/>
    </row>
    <row r="118" spans="1:20" s="15" customFormat="1" ht="12" customHeight="1" x14ac:dyDescent="0.2">
      <c r="A118" s="16"/>
      <c r="B118" s="16"/>
      <c r="C118" s="16"/>
      <c r="D118" s="16"/>
      <c r="E118" s="16"/>
      <c r="F118" s="16"/>
      <c r="G118" s="16"/>
      <c r="H118" s="16"/>
      <c r="I118" s="16"/>
      <c r="J118" s="16"/>
      <c r="K118" s="16"/>
      <c r="L118" s="16"/>
      <c r="M118" s="16"/>
      <c r="N118" s="16"/>
      <c r="O118" s="16"/>
      <c r="P118" s="16"/>
      <c r="Q118" s="16"/>
      <c r="R118" s="16"/>
      <c r="S118" s="16"/>
      <c r="T118" s="16"/>
    </row>
    <row r="119" spans="1:20" s="15" customFormat="1" ht="15" customHeight="1" x14ac:dyDescent="0.2">
      <c r="A119" s="16"/>
      <c r="B119" s="16" t="s">
        <v>1726</v>
      </c>
      <c r="C119" s="16"/>
      <c r="D119" s="16"/>
      <c r="E119" s="16"/>
      <c r="F119" s="16"/>
      <c r="G119" s="16"/>
      <c r="H119" s="16"/>
      <c r="I119" s="16"/>
      <c r="J119" s="16"/>
      <c r="K119" s="16"/>
      <c r="L119" s="16"/>
      <c r="M119" s="16"/>
      <c r="N119" s="16"/>
      <c r="O119" s="16"/>
      <c r="P119" s="16"/>
      <c r="Q119" s="16"/>
      <c r="R119" s="16"/>
      <c r="S119" s="16"/>
      <c r="T119" s="16"/>
    </row>
    <row r="120" spans="1:20" s="15" customFormat="1" ht="15" customHeight="1" x14ac:dyDescent="0.2">
      <c r="A120" s="378"/>
      <c r="B120" s="378"/>
      <c r="C120" s="378"/>
      <c r="D120" s="378"/>
      <c r="E120" s="378"/>
      <c r="F120" s="378"/>
      <c r="G120" s="378"/>
      <c r="H120" s="378"/>
      <c r="I120" s="378"/>
      <c r="J120" s="378"/>
      <c r="K120" s="378"/>
      <c r="L120" s="378"/>
      <c r="M120" s="378"/>
      <c r="N120" s="378"/>
      <c r="O120" s="378"/>
      <c r="P120" s="378"/>
      <c r="Q120" s="378"/>
      <c r="R120" s="378"/>
      <c r="S120" s="378"/>
      <c r="T120" s="378"/>
    </row>
    <row r="121" spans="1:20" ht="15" hidden="1" customHeight="1" x14ac:dyDescent="0.25"/>
    <row r="122" spans="1:20" ht="15" hidden="1" customHeight="1" x14ac:dyDescent="0.25"/>
    <row r="123" spans="1:20" ht="15" hidden="1" customHeight="1" x14ac:dyDescent="0.25"/>
    <row r="124" spans="1:20" ht="15" hidden="1" customHeight="1" x14ac:dyDescent="0.25"/>
    <row r="125" spans="1:20" ht="15" hidden="1" customHeight="1" x14ac:dyDescent="0.25"/>
    <row r="126" spans="1:20" ht="15" hidden="1" customHeight="1" x14ac:dyDescent="0.25"/>
    <row r="127" spans="1:20" ht="15" hidden="1" customHeight="1" x14ac:dyDescent="0.25"/>
    <row r="128" spans="1:20"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hidden="1"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hidden="1"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row r="291" ht="15" hidden="1" customHeight="1" x14ac:dyDescent="0.25"/>
    <row r="292" ht="15" hidden="1" customHeight="1" x14ac:dyDescent="0.25"/>
    <row r="293" ht="15" hidden="1" customHeight="1" x14ac:dyDescent="0.25"/>
    <row r="294" ht="15" hidden="1" customHeight="1" x14ac:dyDescent="0.25"/>
    <row r="295" ht="15" hidden="1" customHeight="1" x14ac:dyDescent="0.25"/>
    <row r="296" ht="15" hidden="1" customHeight="1" x14ac:dyDescent="0.25"/>
    <row r="297" ht="15" hidden="1" customHeight="1" x14ac:dyDescent="0.25"/>
    <row r="298" ht="15" hidden="1" customHeight="1" x14ac:dyDescent="0.25"/>
    <row r="299" ht="15" hidden="1" customHeight="1" x14ac:dyDescent="0.25"/>
    <row r="300" ht="15" hidden="1" customHeight="1" x14ac:dyDescent="0.25"/>
    <row r="301" ht="15" hidden="1" customHeight="1" x14ac:dyDescent="0.25"/>
    <row r="302" ht="15" hidden="1" customHeight="1" x14ac:dyDescent="0.25"/>
    <row r="303" ht="15" hidden="1" customHeight="1" x14ac:dyDescent="0.25"/>
    <row r="304" ht="15" hidden="1" customHeight="1" x14ac:dyDescent="0.25"/>
    <row r="305" ht="15" hidden="1" customHeight="1" x14ac:dyDescent="0.25"/>
    <row r="306" ht="15" hidden="1" customHeight="1" x14ac:dyDescent="0.25"/>
    <row r="307" ht="15" hidden="1" customHeight="1" x14ac:dyDescent="0.25"/>
    <row r="308" ht="15" hidden="1" customHeight="1" x14ac:dyDescent="0.25"/>
    <row r="309" ht="15" hidden="1" customHeight="1" x14ac:dyDescent="0.25"/>
    <row r="310" ht="15" hidden="1" customHeight="1" x14ac:dyDescent="0.25"/>
    <row r="311" ht="15" hidden="1" customHeight="1" x14ac:dyDescent="0.25"/>
    <row r="312" ht="15" hidden="1" customHeight="1" x14ac:dyDescent="0.25"/>
    <row r="313" ht="15" hidden="1" customHeight="1" x14ac:dyDescent="0.25"/>
    <row r="314" ht="15" hidden="1" customHeight="1" x14ac:dyDescent="0.25"/>
    <row r="315" ht="15" hidden="1" customHeight="1" x14ac:dyDescent="0.25"/>
    <row r="316" ht="15" hidden="1" customHeight="1" x14ac:dyDescent="0.25"/>
    <row r="317" ht="15" hidden="1" customHeight="1" x14ac:dyDescent="0.25"/>
    <row r="318" ht="15" hidden="1" customHeight="1" x14ac:dyDescent="0.25"/>
    <row r="319" ht="15" hidden="1" customHeight="1" x14ac:dyDescent="0.25"/>
    <row r="320" ht="15" hidden="1" customHeight="1" x14ac:dyDescent="0.25"/>
    <row r="321" ht="15" hidden="1" customHeight="1" x14ac:dyDescent="0.25"/>
    <row r="322" ht="15" hidden="1" customHeight="1" x14ac:dyDescent="0.25"/>
    <row r="323" ht="15" hidden="1" customHeight="1" x14ac:dyDescent="0.25"/>
    <row r="324" ht="15" hidden="1" customHeight="1" x14ac:dyDescent="0.25"/>
    <row r="325" ht="15" hidden="1" customHeight="1" x14ac:dyDescent="0.25"/>
    <row r="326" ht="15" hidden="1" customHeight="1" x14ac:dyDescent="0.25"/>
    <row r="327" ht="15" hidden="1" customHeight="1" x14ac:dyDescent="0.25"/>
    <row r="328" ht="15" hidden="1" customHeight="1" x14ac:dyDescent="0.25"/>
    <row r="329" ht="15" hidden="1" customHeight="1" x14ac:dyDescent="0.25"/>
    <row r="330" ht="15" hidden="1" customHeight="1" x14ac:dyDescent="0.25"/>
    <row r="331" ht="15" hidden="1" customHeight="1" x14ac:dyDescent="0.25"/>
    <row r="332" ht="15" hidden="1" customHeight="1" x14ac:dyDescent="0.25"/>
    <row r="333" ht="15" hidden="1" customHeight="1" x14ac:dyDescent="0.25"/>
    <row r="334" ht="15" hidden="1" customHeight="1" x14ac:dyDescent="0.25"/>
    <row r="335" ht="15" hidden="1" customHeight="1" x14ac:dyDescent="0.25"/>
    <row r="336" ht="15" hidden="1" customHeight="1" x14ac:dyDescent="0.25"/>
    <row r="337" ht="15" hidden="1" customHeight="1" x14ac:dyDescent="0.25"/>
    <row r="338" ht="15" hidden="1" customHeight="1" x14ac:dyDescent="0.25"/>
    <row r="339" ht="15" hidden="1" customHeight="1" x14ac:dyDescent="0.25"/>
    <row r="340" ht="15" hidden="1" customHeight="1" x14ac:dyDescent="0.25"/>
    <row r="341" ht="15" hidden="1" customHeight="1" x14ac:dyDescent="0.25"/>
    <row r="342" ht="15" hidden="1" customHeight="1" x14ac:dyDescent="0.25"/>
    <row r="343" ht="15" hidden="1" customHeight="1" x14ac:dyDescent="0.25"/>
    <row r="344" ht="15" hidden="1" customHeight="1" x14ac:dyDescent="0.25"/>
    <row r="345" ht="15" hidden="1" customHeight="1" x14ac:dyDescent="0.25"/>
    <row r="346" ht="15" hidden="1" customHeight="1" x14ac:dyDescent="0.25"/>
    <row r="347" ht="15" hidden="1" customHeight="1" x14ac:dyDescent="0.25"/>
    <row r="348" ht="15" hidden="1" customHeight="1" x14ac:dyDescent="0.25"/>
    <row r="349" ht="15" hidden="1" customHeight="1" x14ac:dyDescent="0.25"/>
    <row r="350" ht="15" hidden="1" customHeight="1" x14ac:dyDescent="0.25"/>
    <row r="351" ht="15" hidden="1" customHeight="1" x14ac:dyDescent="0.25"/>
    <row r="352" ht="15" hidden="1" customHeight="1" x14ac:dyDescent="0.25"/>
    <row r="353" ht="15" hidden="1" customHeight="1" x14ac:dyDescent="0.25"/>
    <row r="354" ht="15" hidden="1" customHeight="1" x14ac:dyDescent="0.25"/>
    <row r="355" ht="15" hidden="1" customHeight="1" x14ac:dyDescent="0.25"/>
    <row r="356" ht="15" hidden="1" customHeight="1" x14ac:dyDescent="0.25"/>
    <row r="357" ht="15" hidden="1" customHeight="1" x14ac:dyDescent="0.25"/>
    <row r="358" ht="15" hidden="1" customHeight="1" x14ac:dyDescent="0.25"/>
    <row r="359" ht="15" hidden="1" customHeight="1" x14ac:dyDescent="0.25"/>
    <row r="360" ht="15" hidden="1" customHeight="1" x14ac:dyDescent="0.25"/>
    <row r="361" ht="15" hidden="1" customHeight="1" x14ac:dyDescent="0.25"/>
    <row r="362" ht="15" hidden="1" customHeight="1" x14ac:dyDescent="0.25"/>
    <row r="363" ht="15" hidden="1" customHeight="1" x14ac:dyDescent="0.25"/>
    <row r="364" ht="15" hidden="1" customHeight="1" x14ac:dyDescent="0.25"/>
    <row r="365" ht="15" hidden="1" customHeight="1" x14ac:dyDescent="0.25"/>
    <row r="366" ht="15" hidden="1" customHeight="1" x14ac:dyDescent="0.25"/>
    <row r="367" ht="15" hidden="1" customHeight="1" x14ac:dyDescent="0.25"/>
    <row r="368" ht="15" hidden="1" customHeight="1" x14ac:dyDescent="0.25"/>
    <row r="369" ht="15" hidden="1" customHeight="1" x14ac:dyDescent="0.25"/>
    <row r="370" ht="15" hidden="1" customHeight="1" x14ac:dyDescent="0.25"/>
    <row r="371" ht="15" hidden="1" customHeight="1" x14ac:dyDescent="0.25"/>
    <row r="372" ht="15" hidden="1" customHeight="1" x14ac:dyDescent="0.25"/>
    <row r="373" ht="15" hidden="1" customHeight="1" x14ac:dyDescent="0.25"/>
    <row r="374" ht="15" hidden="1" customHeight="1" x14ac:dyDescent="0.25"/>
    <row r="375" ht="15" hidden="1" customHeight="1" x14ac:dyDescent="0.25"/>
    <row r="376" ht="15" hidden="1" customHeight="1" x14ac:dyDescent="0.25"/>
    <row r="377" ht="15" hidden="1" customHeight="1" x14ac:dyDescent="0.25"/>
    <row r="378" ht="15" hidden="1" customHeight="1" x14ac:dyDescent="0.25"/>
    <row r="379" ht="15" hidden="1" customHeight="1" x14ac:dyDescent="0.25"/>
    <row r="380" ht="15" hidden="1" customHeight="1" x14ac:dyDescent="0.25"/>
    <row r="381" ht="15" hidden="1" customHeight="1" x14ac:dyDescent="0.25"/>
    <row r="382" ht="15" hidden="1" customHeight="1" x14ac:dyDescent="0.25"/>
    <row r="383" ht="15" hidden="1" customHeight="1" x14ac:dyDescent="0.25"/>
    <row r="384" ht="15" hidden="1" customHeight="1" x14ac:dyDescent="0.25"/>
    <row r="385" ht="15" hidden="1" customHeight="1" x14ac:dyDescent="0.25"/>
    <row r="386" ht="15" hidden="1" customHeight="1" x14ac:dyDescent="0.25"/>
    <row r="387" ht="15" hidden="1" customHeight="1" x14ac:dyDescent="0.25"/>
    <row r="388" ht="15" hidden="1" customHeight="1" x14ac:dyDescent="0.25"/>
    <row r="389" ht="15" hidden="1" customHeight="1" x14ac:dyDescent="0.25"/>
    <row r="390" ht="15" hidden="1" customHeight="1" x14ac:dyDescent="0.25"/>
    <row r="391" ht="15" hidden="1" customHeight="1" x14ac:dyDescent="0.25"/>
    <row r="392" ht="15" hidden="1" customHeight="1" x14ac:dyDescent="0.25"/>
    <row r="393" ht="15" hidden="1" customHeight="1" x14ac:dyDescent="0.25"/>
    <row r="394" ht="15" hidden="1" customHeight="1" x14ac:dyDescent="0.25"/>
    <row r="395" ht="15" hidden="1" customHeight="1" x14ac:dyDescent="0.25"/>
    <row r="396" ht="15" hidden="1" customHeight="1" x14ac:dyDescent="0.25"/>
    <row r="397" ht="15" hidden="1" customHeight="1" x14ac:dyDescent="0.25"/>
    <row r="398" ht="15" hidden="1" customHeight="1" x14ac:dyDescent="0.25"/>
    <row r="399" ht="15" hidden="1" customHeight="1" x14ac:dyDescent="0.25"/>
    <row r="400" ht="15" hidden="1" customHeight="1" x14ac:dyDescent="0.25"/>
    <row r="401" ht="15" hidden="1" customHeight="1" x14ac:dyDescent="0.25"/>
    <row r="402" ht="15" hidden="1" customHeight="1" x14ac:dyDescent="0.25"/>
    <row r="403" ht="15" hidden="1" customHeight="1" x14ac:dyDescent="0.25"/>
    <row r="404" ht="15" hidden="1" customHeight="1" x14ac:dyDescent="0.25"/>
    <row r="405" ht="15" hidden="1" customHeight="1" x14ac:dyDescent="0.25"/>
    <row r="406" ht="15" hidden="1" customHeight="1" x14ac:dyDescent="0.25"/>
    <row r="407" ht="15" hidden="1" customHeight="1" x14ac:dyDescent="0.25"/>
    <row r="408" ht="15" hidden="1" customHeight="1" x14ac:dyDescent="0.25"/>
    <row r="409" ht="15" hidden="1" customHeight="1" x14ac:dyDescent="0.25"/>
    <row r="410" ht="15" hidden="1" customHeight="1" x14ac:dyDescent="0.25"/>
    <row r="411" ht="15" hidden="1" customHeight="1" x14ac:dyDescent="0.25"/>
    <row r="412" ht="15" hidden="1" customHeight="1" x14ac:dyDescent="0.25"/>
    <row r="413" ht="15" hidden="1" customHeight="1" x14ac:dyDescent="0.25"/>
    <row r="414" ht="15" hidden="1" customHeight="1" x14ac:dyDescent="0.25"/>
    <row r="415" ht="15" hidden="1" customHeight="1" x14ac:dyDescent="0.25"/>
    <row r="416" ht="15" hidden="1" customHeight="1" x14ac:dyDescent="0.25"/>
    <row r="417" ht="15" hidden="1" customHeight="1" x14ac:dyDescent="0.25"/>
    <row r="418" ht="15" hidden="1" customHeight="1" x14ac:dyDescent="0.25"/>
    <row r="419" ht="15" customHeight="1" x14ac:dyDescent="0.25"/>
    <row r="420" ht="15" customHeight="1" x14ac:dyDescent="0.25"/>
    <row r="421" ht="15" customHeight="1" x14ac:dyDescent="0.25"/>
    <row r="422" ht="15" customHeight="1" x14ac:dyDescent="0.25"/>
    <row r="423" ht="15" customHeight="1" x14ac:dyDescent="0.25"/>
    <row r="424" ht="15" customHeight="1" x14ac:dyDescent="0.25"/>
  </sheetData>
  <sheetProtection algorithmName="SHA-512" hashValue="2nVQtuXni278mOAMrXcQRtTpmFi/swrPSeXpsLUKG92K0i+uQB0PPbNrMigndGY2LJmutlTutD1Mx7AfIwmPmQ==" saltValue="BCzeRvzZZEFu0lGX1Q4UTg==" spinCount="100000" sheet="1" objects="1" scenarios="1"/>
  <mergeCells count="48">
    <mergeCell ref="B105:R105"/>
    <mergeCell ref="B115:R115"/>
    <mergeCell ref="B111:R111"/>
    <mergeCell ref="B113:R113"/>
    <mergeCell ref="B89:R89"/>
    <mergeCell ref="B97:R97"/>
    <mergeCell ref="B91:R91"/>
    <mergeCell ref="B93:R93"/>
    <mergeCell ref="B99:R99"/>
    <mergeCell ref="B101:R101"/>
    <mergeCell ref="B103:R103"/>
    <mergeCell ref="B109:R109"/>
    <mergeCell ref="B95:R95"/>
    <mergeCell ref="A81:F81"/>
    <mergeCell ref="B83:R83"/>
    <mergeCell ref="B85:R85"/>
    <mergeCell ref="B87:R87"/>
    <mergeCell ref="A1:T1"/>
    <mergeCell ref="A34:F34"/>
    <mergeCell ref="A53:F53"/>
    <mergeCell ref="B32:R32"/>
    <mergeCell ref="B18:R18"/>
    <mergeCell ref="B20:R20"/>
    <mergeCell ref="A4:F4"/>
    <mergeCell ref="B30:R30"/>
    <mergeCell ref="B12:S12"/>
    <mergeCell ref="B10:S10"/>
    <mergeCell ref="B8:S8"/>
    <mergeCell ref="B14:S14"/>
    <mergeCell ref="B16:S16"/>
    <mergeCell ref="B2:D2"/>
    <mergeCell ref="F2:I2"/>
    <mergeCell ref="K2:N2"/>
    <mergeCell ref="P2:S2"/>
    <mergeCell ref="B42:S42"/>
    <mergeCell ref="B51:S51"/>
    <mergeCell ref="J57:S60"/>
    <mergeCell ref="J61:S64"/>
    <mergeCell ref="B22:S22"/>
    <mergeCell ref="B24:S24"/>
    <mergeCell ref="B26:S26"/>
    <mergeCell ref="B28:S28"/>
    <mergeCell ref="B44:S44"/>
    <mergeCell ref="J65:S67"/>
    <mergeCell ref="J68:S70"/>
    <mergeCell ref="J71:S73"/>
    <mergeCell ref="J74:S76"/>
    <mergeCell ref="B45:S45"/>
  </mergeCells>
  <hyperlinks>
    <hyperlink ref="B2:C2" location="Introduction!B69" tooltip="Certification Process" display="6. Certification Process"/>
    <hyperlink ref="B2:D2" location="Glossary!A4:B37" tooltip="1. Specific LOTUS Terms" display="1. Specific LOTUS Terms"/>
    <hyperlink ref="F2:G2" location="Introduction!B69" tooltip="Certification Process" display="6. Certification Process"/>
    <hyperlink ref="F2:H2" location="Glossary!A36:A54" tooltip="2. LOTUS Submission terms" display="2. LOTUS Submission terms"/>
    <hyperlink ref="K2:L2" location="Introduction!B69" tooltip="Certification Process" display="6. Certification Process"/>
    <hyperlink ref="K2:M2" location="Glossary!A36:A54" tooltip="2. LOTUS Submission terms" display="2. LOTUS Submission terms"/>
    <hyperlink ref="K2:N2" location="Glossary!A61:A122" tooltip="3. Master Plan terms" display="3. Master Plan terms"/>
    <hyperlink ref="F2:I2" location="Glossary!A38:A60" tooltip="2. LOTUS Submission terms" display="2. LOTUS Submission terms"/>
    <hyperlink ref="P2:Q2" location="Introduction!B69" tooltip="Certification Process" display="6. Certification Process"/>
    <hyperlink ref="P2:R2" location="Glossary!A36:A54" tooltip="2. LOTUS Submission terms" display="2. LOTUS Submission terms"/>
    <hyperlink ref="P2:S2" location="Glossary!A61:A122" tooltip="4. Technical terms" display="4. Technical terms"/>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43634"/>
  </sheetPr>
  <dimension ref="A1:AP428"/>
  <sheetViews>
    <sheetView showRowColHeaders="0" workbookViewId="0">
      <pane ySplit="1" topLeftCell="A156" activePane="bottomLeft" state="frozen"/>
      <selection pane="bottomLeft" activeCell="A160" sqref="A160:R190"/>
    </sheetView>
  </sheetViews>
  <sheetFormatPr defaultColWidth="0" defaultRowHeight="15" zeroHeight="1" x14ac:dyDescent="0.25"/>
  <cols>
    <col min="1" max="1" width="4.140625" customWidth="1"/>
    <col min="2" max="2" width="12" customWidth="1"/>
    <col min="3" max="3" width="10.28515625" customWidth="1"/>
    <col min="4" max="4" width="9.85546875" customWidth="1"/>
    <col min="5" max="5" width="9.140625" customWidth="1"/>
    <col min="6" max="6" width="10.28515625" customWidth="1"/>
    <col min="7" max="8" width="9.140625" customWidth="1"/>
    <col min="9" max="9" width="10.42578125" customWidth="1"/>
    <col min="10" max="10" width="12.7109375" customWidth="1"/>
    <col min="11" max="11" width="11.140625" customWidth="1"/>
    <col min="12" max="18" width="9.140625" customWidth="1"/>
    <col min="19" max="16384" width="9.140625" hidden="1"/>
  </cols>
  <sheetData>
    <row r="1" spans="1:42" s="15" customFormat="1" ht="30" customHeight="1" x14ac:dyDescent="0.2">
      <c r="A1" s="1207" t="s">
        <v>320</v>
      </c>
      <c r="B1" s="1207"/>
      <c r="C1" s="1207"/>
      <c r="D1" s="1207"/>
      <c r="E1" s="1207"/>
      <c r="F1" s="1207"/>
      <c r="G1" s="1207"/>
      <c r="H1" s="1207"/>
      <c r="I1" s="1207"/>
      <c r="J1" s="1207"/>
      <c r="K1" s="1207"/>
      <c r="L1" s="1207"/>
      <c r="M1" s="1207"/>
      <c r="N1" s="1207"/>
      <c r="O1" s="1207"/>
      <c r="P1" s="1207"/>
      <c r="Q1" s="1207"/>
      <c r="R1" s="1207"/>
      <c r="T1" s="1125"/>
      <c r="U1" s="1125"/>
      <c r="V1" s="1125"/>
      <c r="W1" s="1125"/>
      <c r="X1" s="1125"/>
      <c r="Y1" s="1125"/>
      <c r="Z1" s="1125"/>
      <c r="AA1" s="1125"/>
      <c r="AB1" s="1125"/>
      <c r="AC1" s="1125"/>
      <c r="AD1" s="1125"/>
      <c r="AE1" s="1125"/>
      <c r="AF1" s="1125"/>
      <c r="AG1" s="1125"/>
      <c r="AH1" s="1125"/>
      <c r="AI1" s="1125"/>
      <c r="AJ1" s="1125"/>
      <c r="AK1" s="1125"/>
      <c r="AL1" s="1125"/>
      <c r="AM1" s="1125"/>
      <c r="AN1" s="1125"/>
      <c r="AO1" s="1125"/>
      <c r="AP1" s="1125"/>
    </row>
    <row r="2" spans="1:42" s="15" customFormat="1" ht="18" customHeight="1" x14ac:dyDescent="0.2">
      <c r="A2" s="346"/>
      <c r="B2" s="346"/>
      <c r="C2" s="346"/>
      <c r="D2" s="1"/>
      <c r="E2" s="1"/>
      <c r="F2" s="1"/>
      <c r="G2" s="1"/>
      <c r="H2" s="1"/>
      <c r="I2" s="1"/>
      <c r="J2" s="1"/>
      <c r="K2" s="1"/>
      <c r="L2" s="1"/>
      <c r="M2" s="1"/>
      <c r="N2" s="1"/>
      <c r="O2" s="1"/>
      <c r="P2" s="1"/>
      <c r="Q2" s="1"/>
      <c r="R2" s="1"/>
      <c r="T2" s="1125"/>
      <c r="U2" s="1125"/>
      <c r="V2" s="1125"/>
      <c r="W2" s="1125"/>
      <c r="X2" s="1125"/>
      <c r="Y2" s="1125"/>
      <c r="Z2" s="1125"/>
      <c r="AA2" s="1125"/>
      <c r="AB2" s="1125"/>
      <c r="AC2" s="1125"/>
      <c r="AD2" s="1125"/>
      <c r="AE2" s="1125"/>
      <c r="AF2" s="1125"/>
      <c r="AG2" s="1125"/>
      <c r="AH2" s="1125"/>
      <c r="AI2" s="1125"/>
      <c r="AJ2" s="1125"/>
      <c r="AK2" s="1125"/>
      <c r="AL2" s="1125"/>
      <c r="AM2" s="1125"/>
      <c r="AN2" s="1125"/>
      <c r="AO2" s="1125"/>
      <c r="AP2" s="1125"/>
    </row>
    <row r="3" spans="1:42" s="15" customFormat="1" ht="21" customHeight="1" x14ac:dyDescent="0.2">
      <c r="A3" s="2161" t="s">
        <v>18</v>
      </c>
      <c r="B3" s="2161"/>
      <c r="C3" s="2161"/>
      <c r="D3" s="2161"/>
      <c r="E3" s="2161"/>
      <c r="F3" s="2161"/>
      <c r="G3" s="1"/>
      <c r="H3" s="1"/>
      <c r="I3" s="1"/>
      <c r="J3" s="1"/>
      <c r="K3" s="1"/>
      <c r="L3" s="1"/>
      <c r="M3" s="1"/>
      <c r="N3" s="1"/>
      <c r="O3" s="1"/>
      <c r="P3" s="1"/>
      <c r="Q3" s="1"/>
      <c r="R3" s="1"/>
      <c r="T3" s="1125"/>
      <c r="U3" s="1125"/>
      <c r="V3" s="1125"/>
      <c r="W3" s="1125"/>
      <c r="X3" s="1125"/>
      <c r="Y3" s="1125"/>
      <c r="Z3" s="1125"/>
      <c r="AA3" s="1125"/>
      <c r="AB3" s="1125"/>
      <c r="AC3" s="1125"/>
      <c r="AD3" s="1125"/>
      <c r="AE3" s="1125"/>
      <c r="AF3" s="1125"/>
      <c r="AG3" s="1125"/>
      <c r="AH3" s="1125"/>
      <c r="AI3" s="1125"/>
      <c r="AJ3" s="1125"/>
      <c r="AK3" s="1125"/>
      <c r="AL3" s="1125"/>
      <c r="AM3" s="1125"/>
      <c r="AN3" s="1125"/>
      <c r="AO3" s="1125"/>
      <c r="AP3" s="1125"/>
    </row>
    <row r="4" spans="1:42" s="15" customFormat="1" ht="14.25" x14ac:dyDescent="0.2">
      <c r="A4" s="346"/>
      <c r="B4" s="346"/>
      <c r="C4" s="346"/>
      <c r="D4" s="1"/>
      <c r="E4" s="1"/>
      <c r="F4" s="1"/>
      <c r="G4" s="1"/>
      <c r="H4" s="1"/>
      <c r="I4" s="1"/>
      <c r="J4" s="1"/>
      <c r="K4" s="1"/>
      <c r="L4" s="1"/>
      <c r="M4" s="1"/>
      <c r="N4" s="1"/>
      <c r="O4" s="1"/>
      <c r="P4" s="1"/>
      <c r="Q4" s="1"/>
      <c r="R4" s="1"/>
      <c r="T4" s="1125"/>
      <c r="U4" s="1125"/>
      <c r="V4" s="1125"/>
      <c r="W4" s="1125"/>
      <c r="X4" s="1125"/>
      <c r="Y4" s="1125"/>
      <c r="Z4" s="1125"/>
      <c r="AA4" s="1125"/>
      <c r="AB4" s="1125"/>
      <c r="AC4" s="1125"/>
      <c r="AD4" s="1125"/>
      <c r="AE4" s="1125"/>
      <c r="AF4" s="1125"/>
      <c r="AG4" s="1125"/>
      <c r="AH4" s="1125"/>
      <c r="AI4" s="1125"/>
      <c r="AJ4" s="1125"/>
      <c r="AK4" s="1125"/>
      <c r="AL4" s="1125"/>
      <c r="AM4" s="1125"/>
      <c r="AN4" s="1125"/>
      <c r="AO4" s="1125"/>
      <c r="AP4" s="1125"/>
    </row>
    <row r="5" spans="1:42" s="15" customFormat="1" ht="14.25" x14ac:dyDescent="0.2">
      <c r="A5" s="1005" t="s">
        <v>2126</v>
      </c>
      <c r="B5" s="346"/>
      <c r="C5" s="346"/>
      <c r="D5" s="1"/>
      <c r="E5" s="1"/>
      <c r="F5" s="1"/>
      <c r="G5" s="1"/>
      <c r="H5" s="1"/>
      <c r="I5" s="1"/>
      <c r="J5" s="1"/>
      <c r="K5" s="1"/>
      <c r="L5" s="1"/>
      <c r="M5" s="1"/>
      <c r="N5" s="1"/>
      <c r="O5" s="1"/>
      <c r="P5" s="1"/>
      <c r="Q5" s="1"/>
      <c r="R5" s="1"/>
      <c r="T5" s="1125"/>
      <c r="U5" s="1125"/>
      <c r="V5" s="1125"/>
      <c r="W5" s="1125"/>
      <c r="X5" s="1125"/>
      <c r="Y5" s="1125"/>
      <c r="Z5" s="1125"/>
      <c r="AA5" s="1125"/>
      <c r="AB5" s="1125"/>
      <c r="AC5" s="1125"/>
      <c r="AD5" s="1125"/>
      <c r="AE5" s="1125"/>
      <c r="AF5" s="1125"/>
      <c r="AG5" s="1125"/>
      <c r="AH5" s="1125"/>
      <c r="AI5" s="1125"/>
      <c r="AJ5" s="1125"/>
      <c r="AK5" s="1125"/>
      <c r="AL5" s="1125"/>
      <c r="AM5" s="1125"/>
      <c r="AN5" s="1125"/>
      <c r="AO5" s="1125"/>
      <c r="AP5" s="1125"/>
    </row>
    <row r="6" spans="1:42" s="15" customFormat="1" ht="14.25" x14ac:dyDescent="0.2">
      <c r="A6" s="1006"/>
      <c r="B6" s="346"/>
      <c r="C6" s="346"/>
      <c r="D6" s="1"/>
      <c r="E6" s="1"/>
      <c r="F6" s="1"/>
      <c r="G6" s="1"/>
      <c r="H6" s="1"/>
      <c r="I6" s="942"/>
      <c r="J6" s="939"/>
      <c r="K6" s="1"/>
      <c r="L6" s="1"/>
      <c r="M6" s="1"/>
      <c r="N6" s="1"/>
      <c r="O6" s="1"/>
      <c r="P6" s="1"/>
      <c r="Q6" s="1"/>
      <c r="R6" s="1"/>
      <c r="T6" s="1125"/>
      <c r="U6" s="1125"/>
      <c r="V6" s="1125"/>
      <c r="W6" s="1125"/>
      <c r="X6" s="1125"/>
      <c r="Y6" s="1125"/>
      <c r="Z6" s="1125"/>
      <c r="AA6" s="1125"/>
      <c r="AB6" s="1125"/>
      <c r="AC6" s="1125"/>
      <c r="AD6" s="1125"/>
      <c r="AE6" s="1125"/>
      <c r="AF6" s="1125"/>
      <c r="AG6" s="1125"/>
      <c r="AH6" s="1125"/>
      <c r="AI6" s="1125"/>
      <c r="AJ6" s="1125"/>
      <c r="AK6" s="1125"/>
      <c r="AL6" s="1125"/>
      <c r="AM6" s="1125"/>
      <c r="AN6" s="1125"/>
      <c r="AO6" s="1125"/>
      <c r="AP6" s="1125"/>
    </row>
    <row r="7" spans="1:42" s="15" customFormat="1" ht="20.25" customHeight="1" x14ac:dyDescent="0.2">
      <c r="A7" s="1005" t="s">
        <v>1820</v>
      </c>
      <c r="B7" s="346"/>
      <c r="C7" s="346"/>
      <c r="D7" s="1"/>
      <c r="E7" s="1"/>
      <c r="F7" s="1"/>
      <c r="G7" s="1"/>
      <c r="H7" s="1"/>
      <c r="I7" s="942"/>
      <c r="J7" s="73" t="s">
        <v>1821</v>
      </c>
      <c r="K7" s="1"/>
      <c r="L7" s="1"/>
      <c r="M7" s="1"/>
      <c r="N7" s="1"/>
      <c r="O7" s="1"/>
      <c r="P7" s="1"/>
      <c r="Q7" s="1"/>
      <c r="R7" s="1"/>
      <c r="T7" s="1125"/>
      <c r="U7" s="1125"/>
      <c r="V7" s="1125"/>
      <c r="W7" s="1125"/>
      <c r="X7" s="1125"/>
      <c r="Y7" s="1125"/>
      <c r="Z7" s="1125"/>
      <c r="AA7" s="1125"/>
      <c r="AB7" s="1125"/>
      <c r="AC7" s="1125"/>
      <c r="AD7" s="1125"/>
      <c r="AE7" s="1125"/>
      <c r="AF7" s="1125"/>
      <c r="AG7" s="1125"/>
      <c r="AH7" s="1125"/>
      <c r="AI7" s="1125"/>
      <c r="AJ7" s="1125"/>
      <c r="AK7" s="1125"/>
      <c r="AL7" s="1125"/>
      <c r="AM7" s="1125"/>
      <c r="AN7" s="1125"/>
      <c r="AO7" s="1125"/>
      <c r="AP7" s="1125"/>
    </row>
    <row r="8" spans="1:42" s="15" customFormat="1" ht="14.25" x14ac:dyDescent="0.2">
      <c r="A8" s="950"/>
      <c r="B8" s="346"/>
      <c r="C8" s="346"/>
      <c r="D8" s="1"/>
      <c r="E8" s="1"/>
      <c r="F8" s="1"/>
      <c r="G8" s="1"/>
      <c r="H8" s="1"/>
      <c r="I8" s="942"/>
      <c r="J8" s="939"/>
      <c r="K8" s="1"/>
      <c r="L8" s="1"/>
      <c r="M8" s="1"/>
      <c r="N8" s="1"/>
      <c r="O8" s="1"/>
      <c r="P8" s="1"/>
      <c r="Q8" s="1"/>
      <c r="R8" s="1"/>
      <c r="T8" s="1125"/>
      <c r="U8" s="1125"/>
      <c r="V8" s="1125"/>
      <c r="W8" s="1125"/>
      <c r="X8" s="1125"/>
      <c r="Y8" s="1125"/>
      <c r="Z8" s="1125"/>
      <c r="AA8" s="1125"/>
      <c r="AB8" s="1125"/>
      <c r="AC8" s="1125"/>
      <c r="AD8" s="1125"/>
      <c r="AE8" s="1125"/>
      <c r="AF8" s="1125"/>
      <c r="AG8" s="1125"/>
      <c r="AH8" s="1125"/>
      <c r="AI8" s="1125"/>
      <c r="AJ8" s="1125"/>
      <c r="AK8" s="1125"/>
      <c r="AL8" s="1125"/>
      <c r="AM8" s="1125"/>
      <c r="AN8" s="1125"/>
      <c r="AO8" s="1125"/>
      <c r="AP8" s="1125"/>
    </row>
    <row r="9" spans="1:42" s="15" customFormat="1" ht="24.75" customHeight="1" x14ac:dyDescent="0.2">
      <c r="A9" s="2182" t="s">
        <v>1806</v>
      </c>
      <c r="B9" s="2182"/>
      <c r="C9" s="2182"/>
      <c r="D9" s="2182"/>
      <c r="E9" s="2182"/>
      <c r="F9" s="2182"/>
      <c r="G9" s="2182"/>
      <c r="H9" s="945"/>
      <c r="I9" s="941"/>
      <c r="J9" s="2182" t="s">
        <v>1808</v>
      </c>
      <c r="K9" s="2182"/>
      <c r="L9" s="2182"/>
      <c r="M9" s="2182"/>
      <c r="N9" s="2182"/>
      <c r="O9" s="2182"/>
      <c r="P9" s="2182"/>
      <c r="Q9" s="945"/>
      <c r="R9" s="1"/>
      <c r="S9" s="1"/>
      <c r="T9" s="1125"/>
      <c r="U9" s="1125"/>
      <c r="V9" s="1132" t="s">
        <v>2140</v>
      </c>
      <c r="W9" s="1125"/>
      <c r="X9" s="1125"/>
      <c r="Y9" s="1125"/>
      <c r="Z9" s="1125"/>
      <c r="AA9" s="1125"/>
      <c r="AB9" s="1125"/>
      <c r="AC9" s="1125"/>
      <c r="AD9" s="1125"/>
      <c r="AE9" s="1125"/>
      <c r="AF9" s="73" t="s">
        <v>1821</v>
      </c>
      <c r="AG9" s="1125"/>
      <c r="AH9" s="1125"/>
      <c r="AI9" s="1125"/>
      <c r="AJ9" s="1125"/>
      <c r="AK9" s="1125"/>
      <c r="AL9" s="1125"/>
      <c r="AM9" s="1125"/>
      <c r="AN9" s="1125"/>
      <c r="AO9" s="1125"/>
      <c r="AP9" s="1125"/>
    </row>
    <row r="10" spans="1:42" s="15" customFormat="1" ht="18" customHeight="1" x14ac:dyDescent="0.2">
      <c r="A10" s="346"/>
      <c r="B10" s="507" t="s">
        <v>909</v>
      </c>
      <c r="C10" s="907" t="s">
        <v>910</v>
      </c>
      <c r="D10" s="907" t="s">
        <v>911</v>
      </c>
      <c r="E10" s="907" t="s">
        <v>912</v>
      </c>
      <c r="F10" s="908" t="s">
        <v>913</v>
      </c>
      <c r="G10" s="939"/>
      <c r="H10" s="939"/>
      <c r="I10" s="942"/>
      <c r="J10" s="939"/>
      <c r="K10" s="507" t="s">
        <v>909</v>
      </c>
      <c r="L10" s="907" t="s">
        <v>910</v>
      </c>
      <c r="M10" s="907" t="s">
        <v>911</v>
      </c>
      <c r="N10" s="907" t="s">
        <v>912</v>
      </c>
      <c r="O10" s="908" t="s">
        <v>913</v>
      </c>
      <c r="P10" s="939"/>
      <c r="Q10" s="939"/>
      <c r="R10" s="939"/>
      <c r="S10" s="939"/>
      <c r="T10" s="17"/>
      <c r="U10" s="1125"/>
      <c r="V10" s="507" t="s">
        <v>909</v>
      </c>
      <c r="W10" s="1120" t="s">
        <v>910</v>
      </c>
      <c r="X10" s="1120" t="s">
        <v>489</v>
      </c>
      <c r="Y10" s="1120" t="s">
        <v>2141</v>
      </c>
      <c r="Z10" s="1120" t="s">
        <v>494</v>
      </c>
      <c r="AA10" s="908" t="s">
        <v>913</v>
      </c>
      <c r="AB10" s="1120" t="s">
        <v>2142</v>
      </c>
      <c r="AC10" s="1120" t="s">
        <v>2143</v>
      </c>
      <c r="AD10" s="1120" t="s">
        <v>490</v>
      </c>
      <c r="AE10" s="1125"/>
      <c r="AF10" s="507" t="s">
        <v>909</v>
      </c>
      <c r="AG10" s="1120" t="s">
        <v>910</v>
      </c>
      <c r="AH10" s="1120" t="s">
        <v>489</v>
      </c>
      <c r="AI10" s="1120" t="s">
        <v>2141</v>
      </c>
      <c r="AJ10" s="1120" t="s">
        <v>494</v>
      </c>
      <c r="AK10" s="908" t="s">
        <v>913</v>
      </c>
      <c r="AL10" s="1120" t="s">
        <v>2142</v>
      </c>
      <c r="AM10" s="1120" t="s">
        <v>2143</v>
      </c>
      <c r="AN10" s="1120" t="s">
        <v>490</v>
      </c>
      <c r="AO10" s="1125"/>
      <c r="AP10" s="1125"/>
    </row>
    <row r="11" spans="1:42" s="15" customFormat="1" ht="15" customHeight="1" x14ac:dyDescent="0.2">
      <c r="A11" s="16"/>
      <c r="B11" s="911">
        <v>0.1</v>
      </c>
      <c r="C11" s="911">
        <v>1.23</v>
      </c>
      <c r="D11" s="911">
        <v>1.1100000000000001</v>
      </c>
      <c r="E11" s="911">
        <v>1.1399999999999999</v>
      </c>
      <c r="F11" s="911">
        <v>1.2</v>
      </c>
      <c r="G11" s="939"/>
      <c r="H11" s="939"/>
      <c r="I11" s="942"/>
      <c r="J11" s="939"/>
      <c r="K11" s="911">
        <v>0.1</v>
      </c>
      <c r="L11" s="911">
        <v>1.25</v>
      </c>
      <c r="M11" s="911">
        <v>1.06</v>
      </c>
      <c r="N11" s="911">
        <v>1.01</v>
      </c>
      <c r="O11" s="911">
        <v>1.0900000000000001</v>
      </c>
      <c r="P11" s="939"/>
      <c r="Q11" s="939"/>
      <c r="R11" s="939"/>
      <c r="S11" s="939"/>
      <c r="T11" s="17"/>
      <c r="U11" s="1125"/>
      <c r="V11" s="1129">
        <v>0</v>
      </c>
      <c r="W11" s="1129">
        <v>1</v>
      </c>
      <c r="X11" s="1129">
        <v>1</v>
      </c>
      <c r="Y11" s="1129">
        <v>1</v>
      </c>
      <c r="Z11" s="1129">
        <v>1</v>
      </c>
      <c r="AA11" s="1129">
        <v>1</v>
      </c>
      <c r="AB11" s="1129">
        <v>1</v>
      </c>
      <c r="AC11" s="1129">
        <v>1</v>
      </c>
      <c r="AD11" s="1129">
        <v>1</v>
      </c>
      <c r="AE11" s="1125"/>
      <c r="AF11" s="1129">
        <v>0</v>
      </c>
      <c r="AG11" s="1129">
        <v>1</v>
      </c>
      <c r="AH11" s="1129">
        <v>1</v>
      </c>
      <c r="AI11" s="1129">
        <v>1</v>
      </c>
      <c r="AJ11" s="1129">
        <v>1</v>
      </c>
      <c r="AK11" s="1129">
        <v>1</v>
      </c>
      <c r="AL11" s="1129">
        <v>1</v>
      </c>
      <c r="AM11" s="1129">
        <v>1</v>
      </c>
      <c r="AN11" s="1129">
        <v>1</v>
      </c>
      <c r="AO11" s="1125"/>
      <c r="AP11" s="1125"/>
    </row>
    <row r="12" spans="1:42" s="15" customFormat="1" ht="15" customHeight="1" x14ac:dyDescent="0.2">
      <c r="A12" s="16"/>
      <c r="B12" s="910">
        <v>0.2</v>
      </c>
      <c r="C12" s="910">
        <v>1.43</v>
      </c>
      <c r="D12" s="910">
        <v>1.23</v>
      </c>
      <c r="E12" s="910">
        <v>1.28</v>
      </c>
      <c r="F12" s="910">
        <v>1.39</v>
      </c>
      <c r="G12" s="939"/>
      <c r="H12" s="939"/>
      <c r="I12" s="942"/>
      <c r="J12" s="939"/>
      <c r="K12" s="910">
        <v>0.2</v>
      </c>
      <c r="L12" s="910">
        <v>1.52</v>
      </c>
      <c r="M12" s="910">
        <v>1.1200000000000001</v>
      </c>
      <c r="N12" s="910">
        <v>1.03</v>
      </c>
      <c r="O12" s="910">
        <v>1.19</v>
      </c>
      <c r="P12" s="939"/>
      <c r="Q12" s="939"/>
      <c r="R12" s="939"/>
      <c r="S12" s="939"/>
      <c r="T12" s="17"/>
      <c r="U12" s="1125"/>
      <c r="V12" s="1129">
        <v>0.1</v>
      </c>
      <c r="W12" s="1129">
        <v>1.23</v>
      </c>
      <c r="X12" s="1129">
        <v>1.1100000000000001</v>
      </c>
      <c r="Y12" s="1129">
        <v>1.0900000000000001</v>
      </c>
      <c r="Z12" s="1129">
        <v>1.1399999999999999</v>
      </c>
      <c r="AA12" s="1129">
        <v>1.2</v>
      </c>
      <c r="AB12" s="1129">
        <v>1.1399999999999999</v>
      </c>
      <c r="AC12" s="1129">
        <v>1.0900000000000001</v>
      </c>
      <c r="AD12" s="1129">
        <v>1.1100000000000001</v>
      </c>
      <c r="AE12" s="1125"/>
      <c r="AF12" s="1129">
        <v>0.1</v>
      </c>
      <c r="AG12" s="1129">
        <v>1.25</v>
      </c>
      <c r="AH12" s="1129">
        <v>1.06</v>
      </c>
      <c r="AI12" s="1129">
        <v>1.01</v>
      </c>
      <c r="AJ12" s="1129">
        <v>1.0900000000000001</v>
      </c>
      <c r="AK12" s="1129">
        <v>1.0900000000000001</v>
      </c>
      <c r="AL12" s="1129">
        <v>1.0900000000000001</v>
      </c>
      <c r="AM12" s="1129">
        <v>1.01</v>
      </c>
      <c r="AN12" s="1129">
        <v>1.06</v>
      </c>
      <c r="AO12" s="1125"/>
      <c r="AP12" s="1125"/>
    </row>
    <row r="13" spans="1:42" s="15" customFormat="1" ht="15" customHeight="1" x14ac:dyDescent="0.2">
      <c r="A13" s="16"/>
      <c r="B13" s="910">
        <v>0.3</v>
      </c>
      <c r="C13" s="910">
        <v>1.56</v>
      </c>
      <c r="D13" s="910">
        <v>1.35</v>
      </c>
      <c r="E13" s="910">
        <v>1.45</v>
      </c>
      <c r="F13" s="910">
        <v>1.39</v>
      </c>
      <c r="G13" s="939"/>
      <c r="H13" s="939"/>
      <c r="I13" s="942"/>
      <c r="J13" s="939"/>
      <c r="K13" s="910">
        <v>0.3</v>
      </c>
      <c r="L13" s="910">
        <v>1.75</v>
      </c>
      <c r="M13" s="910">
        <v>1.19</v>
      </c>
      <c r="N13" s="910">
        <v>1.05</v>
      </c>
      <c r="O13" s="910">
        <v>1.32</v>
      </c>
      <c r="P13" s="939"/>
      <c r="Q13" s="939"/>
      <c r="R13" s="939"/>
      <c r="S13" s="939"/>
      <c r="T13" s="17"/>
      <c r="U13" s="1125"/>
      <c r="V13" s="1128">
        <v>0.2</v>
      </c>
      <c r="W13" s="1128">
        <v>1.43</v>
      </c>
      <c r="X13" s="1128">
        <v>1.23</v>
      </c>
      <c r="Y13" s="1128">
        <v>1.19</v>
      </c>
      <c r="Z13" s="1128">
        <v>1.28</v>
      </c>
      <c r="AA13" s="1128">
        <v>1.39</v>
      </c>
      <c r="AB13" s="1128">
        <v>1.28</v>
      </c>
      <c r="AC13" s="1128">
        <v>1.19</v>
      </c>
      <c r="AD13" s="1128">
        <v>1.23</v>
      </c>
      <c r="AE13" s="1125"/>
      <c r="AF13" s="1128">
        <v>0.2</v>
      </c>
      <c r="AG13" s="1128">
        <v>1.52</v>
      </c>
      <c r="AH13" s="1128">
        <v>1.1200000000000001</v>
      </c>
      <c r="AI13" s="1128">
        <v>1.03</v>
      </c>
      <c r="AJ13" s="1128">
        <v>1.19</v>
      </c>
      <c r="AK13" s="1128">
        <v>1.19</v>
      </c>
      <c r="AL13" s="1128">
        <v>1.19</v>
      </c>
      <c r="AM13" s="1128">
        <v>1.03</v>
      </c>
      <c r="AN13" s="1128">
        <v>1.1200000000000001</v>
      </c>
      <c r="AO13" s="1125"/>
      <c r="AP13" s="1125"/>
    </row>
    <row r="14" spans="1:42" s="15" customFormat="1" ht="15" customHeight="1" x14ac:dyDescent="0.2">
      <c r="A14" s="16"/>
      <c r="B14" s="910">
        <v>0.4</v>
      </c>
      <c r="C14" s="910">
        <v>1.64</v>
      </c>
      <c r="D14" s="910">
        <v>1.47</v>
      </c>
      <c r="E14" s="910">
        <v>1.59</v>
      </c>
      <c r="F14" s="910">
        <v>1.39</v>
      </c>
      <c r="G14" s="939"/>
      <c r="H14" s="939"/>
      <c r="I14" s="942"/>
      <c r="J14" s="939"/>
      <c r="K14" s="910">
        <v>0.4</v>
      </c>
      <c r="L14" s="910">
        <v>1.82</v>
      </c>
      <c r="M14" s="910">
        <v>1.28</v>
      </c>
      <c r="N14" s="910">
        <v>1.06</v>
      </c>
      <c r="O14" s="910">
        <v>1.45</v>
      </c>
      <c r="P14" s="939"/>
      <c r="Q14" s="939"/>
      <c r="R14" s="939"/>
      <c r="S14" s="939"/>
      <c r="T14" s="17"/>
      <c r="U14" s="1125"/>
      <c r="V14" s="1128">
        <v>0.3</v>
      </c>
      <c r="W14" s="1128">
        <v>1.56</v>
      </c>
      <c r="X14" s="1128">
        <v>1.35</v>
      </c>
      <c r="Y14" s="1128">
        <v>1.3</v>
      </c>
      <c r="Z14" s="1128">
        <v>1.45</v>
      </c>
      <c r="AA14" s="1128">
        <v>1.39</v>
      </c>
      <c r="AB14" s="1128">
        <v>1.45</v>
      </c>
      <c r="AC14" s="1128">
        <v>1.3</v>
      </c>
      <c r="AD14" s="1128">
        <v>1.35</v>
      </c>
      <c r="AE14" s="1125"/>
      <c r="AF14" s="1128">
        <v>0.3</v>
      </c>
      <c r="AG14" s="1128">
        <v>1.75</v>
      </c>
      <c r="AH14" s="1128">
        <v>1.19</v>
      </c>
      <c r="AI14" s="1128">
        <v>1.05</v>
      </c>
      <c r="AJ14" s="1128">
        <v>1.32</v>
      </c>
      <c r="AK14" s="1128">
        <v>1.32</v>
      </c>
      <c r="AL14" s="1128">
        <v>1.32</v>
      </c>
      <c r="AM14" s="1128">
        <v>1.05</v>
      </c>
      <c r="AN14" s="1128">
        <v>1.19</v>
      </c>
      <c r="AO14" s="1125"/>
      <c r="AP14" s="1125"/>
    </row>
    <row r="15" spans="1:42" s="15" customFormat="1" ht="15" customHeight="1" x14ac:dyDescent="0.2">
      <c r="A15" s="16"/>
      <c r="B15" s="910">
        <v>0.5</v>
      </c>
      <c r="C15" s="910">
        <v>1.69</v>
      </c>
      <c r="D15" s="910">
        <v>1.59</v>
      </c>
      <c r="E15" s="910">
        <v>1.75</v>
      </c>
      <c r="F15" s="910">
        <v>1.39</v>
      </c>
      <c r="G15" s="939"/>
      <c r="H15" s="939"/>
      <c r="I15" s="942"/>
      <c r="J15" s="939"/>
      <c r="K15" s="910">
        <v>0.5</v>
      </c>
      <c r="L15" s="910">
        <v>1.85</v>
      </c>
      <c r="M15" s="910">
        <v>1.37</v>
      </c>
      <c r="N15" s="910">
        <v>1.0900000000000001</v>
      </c>
      <c r="O15" s="910">
        <v>1.64</v>
      </c>
      <c r="P15" s="939"/>
      <c r="Q15" s="939"/>
      <c r="R15" s="939"/>
      <c r="S15" s="939"/>
      <c r="T15" s="17"/>
      <c r="U15" s="1125"/>
      <c r="V15" s="1128">
        <v>0.4</v>
      </c>
      <c r="W15" s="1128">
        <v>1.64</v>
      </c>
      <c r="X15" s="1128">
        <v>1.47</v>
      </c>
      <c r="Y15" s="1128">
        <v>1.41</v>
      </c>
      <c r="Z15" s="1128">
        <v>1.59</v>
      </c>
      <c r="AA15" s="1128">
        <v>1.39</v>
      </c>
      <c r="AB15" s="1128">
        <v>1.59</v>
      </c>
      <c r="AC15" s="1128">
        <v>1.41</v>
      </c>
      <c r="AD15" s="1128">
        <v>1.47</v>
      </c>
      <c r="AE15" s="1125"/>
      <c r="AF15" s="1128">
        <v>0.4</v>
      </c>
      <c r="AG15" s="1128">
        <v>1.82</v>
      </c>
      <c r="AH15" s="1128">
        <v>1.28</v>
      </c>
      <c r="AI15" s="1128">
        <v>1.06</v>
      </c>
      <c r="AJ15" s="1128">
        <v>1.45</v>
      </c>
      <c r="AK15" s="1128">
        <v>1.45</v>
      </c>
      <c r="AL15" s="1128">
        <v>1.45</v>
      </c>
      <c r="AM15" s="1128">
        <v>1.06</v>
      </c>
      <c r="AN15" s="1128">
        <v>1.28</v>
      </c>
      <c r="AO15" s="1125"/>
      <c r="AP15" s="1125"/>
    </row>
    <row r="16" spans="1:42" s="15" customFormat="1" ht="15" customHeight="1" x14ac:dyDescent="0.2">
      <c r="A16" s="16"/>
      <c r="B16" s="910">
        <v>0.6</v>
      </c>
      <c r="C16" s="910">
        <v>1.75</v>
      </c>
      <c r="D16" s="910">
        <v>1.69</v>
      </c>
      <c r="E16" s="910">
        <v>1.89</v>
      </c>
      <c r="F16" s="910">
        <v>1.39</v>
      </c>
      <c r="G16" s="939"/>
      <c r="H16" s="939"/>
      <c r="I16" s="942"/>
      <c r="J16" s="939"/>
      <c r="K16" s="910">
        <v>0.6</v>
      </c>
      <c r="L16" s="910">
        <v>1.85</v>
      </c>
      <c r="M16" s="910">
        <v>1.47</v>
      </c>
      <c r="N16" s="910">
        <v>1.1000000000000001</v>
      </c>
      <c r="O16" s="910">
        <v>1.82</v>
      </c>
      <c r="P16" s="939"/>
      <c r="Q16" s="939"/>
      <c r="R16" s="939"/>
      <c r="S16" s="939"/>
      <c r="T16" s="17"/>
      <c r="U16" s="1125"/>
      <c r="V16" s="1128">
        <v>0.5</v>
      </c>
      <c r="W16" s="1128">
        <v>1.69</v>
      </c>
      <c r="X16" s="1128">
        <v>1.59</v>
      </c>
      <c r="Y16" s="1128">
        <v>1.54</v>
      </c>
      <c r="Z16" s="1128">
        <v>1.75</v>
      </c>
      <c r="AA16" s="1128">
        <v>1.39</v>
      </c>
      <c r="AB16" s="1128">
        <v>1.75</v>
      </c>
      <c r="AC16" s="1128">
        <v>1.54</v>
      </c>
      <c r="AD16" s="1128">
        <v>1.59</v>
      </c>
      <c r="AE16" s="1125"/>
      <c r="AF16" s="1128">
        <v>0.5</v>
      </c>
      <c r="AG16" s="1128">
        <v>1.85</v>
      </c>
      <c r="AH16" s="1128">
        <v>1.37</v>
      </c>
      <c r="AI16" s="1128">
        <v>1.0900000000000001</v>
      </c>
      <c r="AJ16" s="1128">
        <v>1.64</v>
      </c>
      <c r="AK16" s="1128">
        <v>1.64</v>
      </c>
      <c r="AL16" s="1128">
        <v>1.64</v>
      </c>
      <c r="AM16" s="1128">
        <v>1.0900000000000001</v>
      </c>
      <c r="AN16" s="1128">
        <v>1.37</v>
      </c>
      <c r="AO16" s="1125"/>
      <c r="AP16" s="1125"/>
    </row>
    <row r="17" spans="1:42" s="15" customFormat="1" ht="15" customHeight="1" x14ac:dyDescent="0.2">
      <c r="A17" s="16"/>
      <c r="B17" s="910">
        <v>0.7</v>
      </c>
      <c r="C17" s="910">
        <v>1.79</v>
      </c>
      <c r="D17" s="910">
        <v>1.82</v>
      </c>
      <c r="E17" s="910">
        <v>2</v>
      </c>
      <c r="F17" s="910">
        <v>1.39</v>
      </c>
      <c r="G17" s="939"/>
      <c r="H17" s="939"/>
      <c r="I17" s="942"/>
      <c r="J17" s="939"/>
      <c r="K17" s="910">
        <v>0.7</v>
      </c>
      <c r="L17" s="910">
        <v>1.89</v>
      </c>
      <c r="M17" s="910">
        <v>1.59</v>
      </c>
      <c r="N17" s="910">
        <v>1.1200000000000001</v>
      </c>
      <c r="O17" s="910">
        <v>1.96</v>
      </c>
      <c r="P17" s="939"/>
      <c r="Q17" s="939"/>
      <c r="R17" s="939"/>
      <c r="S17" s="939"/>
      <c r="T17" s="17"/>
      <c r="U17" s="1125"/>
      <c r="V17" s="1128">
        <v>0.6</v>
      </c>
      <c r="W17" s="1128">
        <v>1.75</v>
      </c>
      <c r="X17" s="1128">
        <v>1.69</v>
      </c>
      <c r="Y17" s="1128">
        <v>1.64</v>
      </c>
      <c r="Z17" s="1128">
        <v>1.89</v>
      </c>
      <c r="AA17" s="1128">
        <v>1.39</v>
      </c>
      <c r="AB17" s="1128">
        <v>1.89</v>
      </c>
      <c r="AC17" s="1128">
        <v>1.64</v>
      </c>
      <c r="AD17" s="1128">
        <v>1.69</v>
      </c>
      <c r="AE17" s="1125"/>
      <c r="AF17" s="1128">
        <v>0.6</v>
      </c>
      <c r="AG17" s="1128">
        <v>1.85</v>
      </c>
      <c r="AH17" s="1128">
        <v>1.47</v>
      </c>
      <c r="AI17" s="1128">
        <v>1.1000000000000001</v>
      </c>
      <c r="AJ17" s="1128">
        <v>1.83</v>
      </c>
      <c r="AK17" s="1128">
        <v>1.82</v>
      </c>
      <c r="AL17" s="1128">
        <v>1.83</v>
      </c>
      <c r="AM17" s="1128">
        <v>1.1000000000000001</v>
      </c>
      <c r="AN17" s="1128">
        <v>1.47</v>
      </c>
      <c r="AO17" s="1125"/>
      <c r="AP17" s="1125"/>
    </row>
    <row r="18" spans="1:42" s="15" customFormat="1" ht="15" customHeight="1" x14ac:dyDescent="0.2">
      <c r="A18" s="16"/>
      <c r="B18" s="910">
        <v>0.8</v>
      </c>
      <c r="C18" s="910">
        <v>1.82</v>
      </c>
      <c r="D18" s="910">
        <v>1.89</v>
      </c>
      <c r="E18" s="910">
        <v>2.13</v>
      </c>
      <c r="F18" s="910">
        <v>1.39</v>
      </c>
      <c r="G18" s="939"/>
      <c r="H18" s="939"/>
      <c r="I18" s="942"/>
      <c r="J18" s="939"/>
      <c r="K18" s="910">
        <v>0.8</v>
      </c>
      <c r="L18" s="910">
        <v>1.89</v>
      </c>
      <c r="M18" s="910">
        <v>1.69</v>
      </c>
      <c r="N18" s="910">
        <v>1.1399999999999999</v>
      </c>
      <c r="O18" s="910">
        <v>2.13</v>
      </c>
      <c r="P18" s="939"/>
      <c r="Q18" s="939"/>
      <c r="R18" s="939"/>
      <c r="S18" s="939"/>
      <c r="T18" s="17"/>
      <c r="U18" s="1125"/>
      <c r="V18" s="1128">
        <v>0.7</v>
      </c>
      <c r="W18" s="1128">
        <v>1.79</v>
      </c>
      <c r="X18" s="1128">
        <v>1.82</v>
      </c>
      <c r="Y18" s="1128">
        <v>1.82</v>
      </c>
      <c r="Z18" s="1128">
        <v>2</v>
      </c>
      <c r="AA18" s="1128">
        <v>1.39</v>
      </c>
      <c r="AB18" s="1128">
        <v>2</v>
      </c>
      <c r="AC18" s="1128">
        <v>1.82</v>
      </c>
      <c r="AD18" s="1128">
        <v>1.82</v>
      </c>
      <c r="AE18" s="1125"/>
      <c r="AF18" s="1128">
        <v>0.7</v>
      </c>
      <c r="AG18" s="1128">
        <v>1.89</v>
      </c>
      <c r="AH18" s="1128">
        <v>1.59</v>
      </c>
      <c r="AI18" s="1128">
        <v>1.1200000000000001</v>
      </c>
      <c r="AJ18" s="1128">
        <v>1.96</v>
      </c>
      <c r="AK18" s="1128">
        <v>1.96</v>
      </c>
      <c r="AL18" s="1128">
        <v>1.96</v>
      </c>
      <c r="AM18" s="1128">
        <v>1.1200000000000001</v>
      </c>
      <c r="AN18" s="1128">
        <v>1.59</v>
      </c>
      <c r="AO18" s="1125"/>
      <c r="AP18" s="1125"/>
    </row>
    <row r="19" spans="1:42" s="15" customFormat="1" ht="15" customHeight="1" x14ac:dyDescent="0.2">
      <c r="A19" s="16"/>
      <c r="B19" s="910">
        <v>0.9</v>
      </c>
      <c r="C19" s="910">
        <v>1.85</v>
      </c>
      <c r="D19" s="910">
        <v>2</v>
      </c>
      <c r="E19" s="910">
        <v>2.2200000000000002</v>
      </c>
      <c r="F19" s="910">
        <v>1.39</v>
      </c>
      <c r="G19" s="939"/>
      <c r="H19" s="939"/>
      <c r="I19" s="942"/>
      <c r="J19" s="939"/>
      <c r="K19" s="910">
        <v>0.9</v>
      </c>
      <c r="L19" s="910">
        <v>1.89</v>
      </c>
      <c r="M19" s="910">
        <v>1.82</v>
      </c>
      <c r="N19" s="910">
        <v>1.1599999999999999</v>
      </c>
      <c r="O19" s="910">
        <v>2.2200000000000002</v>
      </c>
      <c r="P19" s="939"/>
      <c r="Q19" s="939"/>
      <c r="R19" s="939"/>
      <c r="S19" s="939"/>
      <c r="T19" s="17"/>
      <c r="U19" s="1125"/>
      <c r="V19" s="1128">
        <v>0.8</v>
      </c>
      <c r="W19" s="1128">
        <v>1.82</v>
      </c>
      <c r="X19" s="1128">
        <v>1.89</v>
      </c>
      <c r="Y19" s="1128">
        <v>1.89</v>
      </c>
      <c r="Z19" s="1128">
        <v>2.13</v>
      </c>
      <c r="AA19" s="1128">
        <v>1.39</v>
      </c>
      <c r="AB19" s="1128">
        <v>2.13</v>
      </c>
      <c r="AC19" s="1128">
        <v>1.89</v>
      </c>
      <c r="AD19" s="1128">
        <v>1.89</v>
      </c>
      <c r="AE19" s="1125"/>
      <c r="AF19" s="1128">
        <v>0.8</v>
      </c>
      <c r="AG19" s="1128">
        <v>1.89</v>
      </c>
      <c r="AH19" s="1128">
        <v>1.69</v>
      </c>
      <c r="AI19" s="1128">
        <v>1.1399999999999999</v>
      </c>
      <c r="AJ19" s="1128">
        <v>2.13</v>
      </c>
      <c r="AK19" s="1128">
        <v>2.13</v>
      </c>
      <c r="AL19" s="1128">
        <v>2.13</v>
      </c>
      <c r="AM19" s="1128">
        <v>1.1399999999999999</v>
      </c>
      <c r="AN19" s="1128">
        <v>1.69</v>
      </c>
      <c r="AO19" s="1125"/>
      <c r="AP19" s="1125"/>
    </row>
    <row r="20" spans="1:42" s="15" customFormat="1" ht="15" customHeight="1" x14ac:dyDescent="0.2">
      <c r="A20" s="16"/>
      <c r="B20" s="910">
        <v>1</v>
      </c>
      <c r="C20" s="910">
        <v>1.85</v>
      </c>
      <c r="D20" s="910">
        <v>2.08</v>
      </c>
      <c r="E20" s="910">
        <v>2.27</v>
      </c>
      <c r="F20" s="910">
        <v>1.39</v>
      </c>
      <c r="G20" s="939"/>
      <c r="H20" s="939"/>
      <c r="I20" s="942"/>
      <c r="J20" s="939"/>
      <c r="K20" s="910">
        <v>1</v>
      </c>
      <c r="L20" s="910">
        <v>1.89</v>
      </c>
      <c r="M20" s="910">
        <v>1.96</v>
      </c>
      <c r="N20" s="910">
        <v>1.18</v>
      </c>
      <c r="O20" s="910">
        <v>2.33</v>
      </c>
      <c r="P20" s="939"/>
      <c r="Q20" s="939"/>
      <c r="R20" s="939"/>
      <c r="S20" s="939"/>
      <c r="T20" s="17"/>
      <c r="U20" s="1125"/>
      <c r="V20" s="1128">
        <v>0.9</v>
      </c>
      <c r="W20" s="1128">
        <v>1.85</v>
      </c>
      <c r="X20" s="1128">
        <v>2</v>
      </c>
      <c r="Y20" s="1128">
        <v>2</v>
      </c>
      <c r="Z20" s="1128">
        <v>2.2200000000000002</v>
      </c>
      <c r="AA20" s="1128">
        <v>1.39</v>
      </c>
      <c r="AB20" s="1128">
        <v>2.2200000000000002</v>
      </c>
      <c r="AC20" s="1128">
        <v>2</v>
      </c>
      <c r="AD20" s="1128">
        <v>2</v>
      </c>
      <c r="AE20" s="1125"/>
      <c r="AF20" s="1128">
        <v>0.9</v>
      </c>
      <c r="AG20" s="1128">
        <v>1.89</v>
      </c>
      <c r="AH20" s="1128">
        <v>1.82</v>
      </c>
      <c r="AI20" s="1128">
        <v>1.1599999999999999</v>
      </c>
      <c r="AJ20" s="1128">
        <v>2.2200000000000002</v>
      </c>
      <c r="AK20" s="1128">
        <v>2.2200000000000002</v>
      </c>
      <c r="AL20" s="1128">
        <v>2.2200000000000002</v>
      </c>
      <c r="AM20" s="1128">
        <v>1.1599999999999999</v>
      </c>
      <c r="AN20" s="1128">
        <v>1.82</v>
      </c>
      <c r="AO20" s="1125"/>
      <c r="AP20" s="1125"/>
    </row>
    <row r="21" spans="1:42" s="15" customFormat="1" ht="15" customHeight="1" x14ac:dyDescent="0.2">
      <c r="A21" s="346"/>
      <c r="B21" s="2162" t="s">
        <v>1499</v>
      </c>
      <c r="C21" s="2162"/>
      <c r="D21" s="2162"/>
      <c r="E21" s="2162"/>
      <c r="F21" s="2162"/>
      <c r="G21" s="939"/>
      <c r="H21" s="939"/>
      <c r="I21" s="942"/>
      <c r="J21" s="939"/>
      <c r="K21" s="2162" t="s">
        <v>1807</v>
      </c>
      <c r="L21" s="2162"/>
      <c r="M21" s="2162"/>
      <c r="N21" s="2162"/>
      <c r="O21" s="2162"/>
      <c r="P21" s="939"/>
      <c r="Q21" s="939"/>
      <c r="R21" s="939"/>
      <c r="S21" s="939"/>
      <c r="T21" s="17"/>
      <c r="U21" s="1125"/>
      <c r="V21" s="1128">
        <v>1</v>
      </c>
      <c r="W21" s="1128">
        <v>1.85</v>
      </c>
      <c r="X21" s="1128">
        <v>2.08</v>
      </c>
      <c r="Y21" s="1128">
        <v>2.08</v>
      </c>
      <c r="Z21" s="1128">
        <v>2.27</v>
      </c>
      <c r="AA21" s="1128">
        <v>1.39</v>
      </c>
      <c r="AB21" s="1128">
        <v>2.27</v>
      </c>
      <c r="AC21" s="1128">
        <v>2.08</v>
      </c>
      <c r="AD21" s="1128">
        <v>2.08</v>
      </c>
      <c r="AE21" s="1125"/>
      <c r="AF21" s="1128">
        <v>1</v>
      </c>
      <c r="AG21" s="1128">
        <v>1.89</v>
      </c>
      <c r="AH21" s="1128">
        <v>1.96</v>
      </c>
      <c r="AI21" s="1128">
        <v>1.18</v>
      </c>
      <c r="AJ21" s="1128">
        <v>2.33</v>
      </c>
      <c r="AK21" s="1128">
        <v>2.33</v>
      </c>
      <c r="AL21" s="1128">
        <v>2.33</v>
      </c>
      <c r="AM21" s="1128">
        <v>1.18</v>
      </c>
      <c r="AN21" s="1128">
        <v>1.96</v>
      </c>
      <c r="AO21" s="1125"/>
      <c r="AP21" s="1125"/>
    </row>
    <row r="22" spans="1:42" s="15" customFormat="1" ht="15" customHeight="1" x14ac:dyDescent="0.2">
      <c r="A22" s="1007" t="s">
        <v>1809</v>
      </c>
      <c r="B22" s="1008"/>
      <c r="C22" s="1009"/>
      <c r="D22" s="1009"/>
      <c r="E22" s="1009"/>
      <c r="F22" s="1009"/>
      <c r="G22" s="1009"/>
      <c r="H22" s="939"/>
      <c r="I22" s="942"/>
      <c r="J22" s="1007" t="s">
        <v>1809</v>
      </c>
      <c r="K22" s="1009"/>
      <c r="L22" s="1009"/>
      <c r="M22" s="1009"/>
      <c r="N22" s="1009"/>
      <c r="O22" s="1009"/>
      <c r="P22" s="1009"/>
      <c r="Q22" s="939"/>
      <c r="R22" s="939"/>
      <c r="S22" s="939"/>
      <c r="T22" s="1125"/>
      <c r="U22" s="1125"/>
      <c r="V22" s="1125"/>
      <c r="W22" s="1125"/>
      <c r="X22" s="1125"/>
      <c r="Y22" s="1125"/>
      <c r="Z22" s="1125"/>
      <c r="AA22" s="1125"/>
      <c r="AB22" s="1125"/>
      <c r="AC22" s="1125"/>
      <c r="AD22" s="1125"/>
      <c r="AE22" s="1125"/>
      <c r="AF22" s="1125"/>
      <c r="AG22" s="1125"/>
      <c r="AH22" s="1125"/>
      <c r="AI22" s="1125"/>
      <c r="AJ22" s="1125"/>
      <c r="AK22" s="1125"/>
      <c r="AL22" s="1125"/>
      <c r="AM22" s="1125"/>
      <c r="AN22" s="1125"/>
      <c r="AO22" s="1125"/>
      <c r="AP22" s="1125"/>
    </row>
    <row r="23" spans="1:42" s="15" customFormat="1" ht="15" customHeight="1" x14ac:dyDescent="0.2">
      <c r="A23" s="1007" t="s">
        <v>1810</v>
      </c>
      <c r="B23" s="1008"/>
      <c r="C23" s="1009"/>
      <c r="D23" s="1009"/>
      <c r="E23" s="1009"/>
      <c r="F23" s="1009"/>
      <c r="G23" s="1009"/>
      <c r="H23" s="939"/>
      <c r="I23" s="942"/>
      <c r="J23" s="1010" t="s">
        <v>1815</v>
      </c>
      <c r="K23" s="1009"/>
      <c r="L23" s="1009"/>
      <c r="M23" s="1009"/>
      <c r="N23" s="1009"/>
      <c r="O23" s="1009"/>
      <c r="P23" s="1009"/>
      <c r="Q23" s="939"/>
      <c r="R23" s="939"/>
      <c r="S23" s="939"/>
      <c r="T23" s="1125"/>
      <c r="U23" s="1125"/>
      <c r="V23" s="1125"/>
      <c r="W23" s="1125"/>
      <c r="X23" s="1125"/>
      <c r="Y23" s="1125"/>
      <c r="Z23" s="1125"/>
      <c r="AA23" s="1125"/>
      <c r="AB23" s="1125"/>
      <c r="AC23" s="1125"/>
      <c r="AD23" s="1125"/>
      <c r="AE23" s="1125"/>
      <c r="AF23" s="1125"/>
      <c r="AG23" s="1125"/>
      <c r="AH23" s="1125"/>
      <c r="AI23" s="1125"/>
      <c r="AJ23" s="1125"/>
      <c r="AK23" s="1125"/>
      <c r="AL23" s="1125"/>
      <c r="AM23" s="1125"/>
      <c r="AN23" s="1125"/>
      <c r="AO23" s="1125"/>
      <c r="AP23" s="1125"/>
    </row>
    <row r="24" spans="1:42" s="15" customFormat="1" ht="15" customHeight="1" x14ac:dyDescent="0.2">
      <c r="A24" s="1007" t="s">
        <v>1811</v>
      </c>
      <c r="B24" s="1008"/>
      <c r="C24" s="1009"/>
      <c r="D24" s="1009"/>
      <c r="E24" s="1009"/>
      <c r="F24" s="1009"/>
      <c r="G24" s="1009"/>
      <c r="H24" s="939"/>
      <c r="I24" s="942"/>
      <c r="J24" s="1010" t="s">
        <v>1816</v>
      </c>
      <c r="K24" s="1009"/>
      <c r="L24" s="1009"/>
      <c r="M24" s="1009"/>
      <c r="N24" s="1009"/>
      <c r="O24" s="1009"/>
      <c r="P24" s="1009"/>
      <c r="Q24" s="939"/>
      <c r="R24" s="939"/>
      <c r="S24" s="939"/>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row>
    <row r="25" spans="1:42" s="15" customFormat="1" ht="15" customHeight="1" x14ac:dyDescent="0.2">
      <c r="A25" s="1007" t="s">
        <v>1812</v>
      </c>
      <c r="B25" s="1008"/>
      <c r="C25" s="1009"/>
      <c r="D25" s="1009"/>
      <c r="E25" s="1009"/>
      <c r="F25" s="1009"/>
      <c r="G25" s="1009"/>
      <c r="H25" s="939"/>
      <c r="I25" s="942"/>
      <c r="J25" s="1010" t="s">
        <v>1817</v>
      </c>
      <c r="K25" s="1009"/>
      <c r="L25" s="1009"/>
      <c r="M25" s="1009"/>
      <c r="N25" s="1009"/>
      <c r="O25" s="1009"/>
      <c r="P25" s="1009"/>
      <c r="Q25" s="939"/>
      <c r="R25" s="939"/>
      <c r="S25" s="939"/>
      <c r="T25" s="1125"/>
      <c r="U25" s="1125"/>
      <c r="V25" s="1125"/>
      <c r="W25" s="1125"/>
      <c r="X25" s="1125"/>
      <c r="Y25" s="1125"/>
      <c r="Z25" s="1125"/>
      <c r="AA25" s="1125"/>
      <c r="AB25" s="1125"/>
      <c r="AC25" s="1125"/>
      <c r="AD25" s="1125"/>
      <c r="AE25" s="1125"/>
      <c r="AF25" s="1125"/>
      <c r="AG25" s="1125"/>
      <c r="AH25" s="1125"/>
      <c r="AI25" s="1125"/>
      <c r="AJ25" s="1125"/>
      <c r="AK25" s="1125"/>
      <c r="AL25" s="1125"/>
      <c r="AM25" s="1125"/>
      <c r="AN25" s="1125"/>
      <c r="AO25" s="1125"/>
      <c r="AP25" s="1125"/>
    </row>
    <row r="26" spans="1:42" s="15" customFormat="1" ht="15" customHeight="1" x14ac:dyDescent="0.2">
      <c r="A26" s="1007" t="s">
        <v>1813</v>
      </c>
      <c r="B26" s="1008"/>
      <c r="C26" s="1009"/>
      <c r="D26" s="1009"/>
      <c r="E26" s="1009"/>
      <c r="F26" s="1009"/>
      <c r="G26" s="1009"/>
      <c r="H26" s="939"/>
      <c r="I26" s="942"/>
      <c r="J26" s="1010" t="s">
        <v>1818</v>
      </c>
      <c r="K26" s="1009"/>
      <c r="L26" s="1009"/>
      <c r="M26" s="1009"/>
      <c r="N26" s="1009"/>
      <c r="O26" s="1009"/>
      <c r="P26" s="1009"/>
      <c r="Q26" s="939"/>
      <c r="R26" s="939"/>
      <c r="S26" s="939"/>
      <c r="T26" s="1125"/>
      <c r="U26" s="1125"/>
      <c r="V26" s="1125"/>
      <c r="W26" s="1125"/>
      <c r="X26" s="1125"/>
      <c r="Y26" s="1125"/>
      <c r="Z26" s="1125"/>
      <c r="AA26" s="1125"/>
      <c r="AB26" s="1125"/>
      <c r="AC26" s="1125"/>
      <c r="AD26" s="1125"/>
      <c r="AE26" s="1125"/>
      <c r="AF26" s="1125"/>
      <c r="AG26" s="1125"/>
      <c r="AH26" s="1125"/>
      <c r="AI26" s="1125"/>
      <c r="AJ26" s="1125"/>
      <c r="AK26" s="1125"/>
      <c r="AL26" s="1125"/>
      <c r="AM26" s="1125"/>
      <c r="AN26" s="1125"/>
      <c r="AO26" s="1125"/>
      <c r="AP26" s="1125"/>
    </row>
    <row r="27" spans="1:42" s="15" customFormat="1" ht="15" customHeight="1" x14ac:dyDescent="0.2">
      <c r="A27" s="2160" t="s">
        <v>1814</v>
      </c>
      <c r="B27" s="2160"/>
      <c r="C27" s="2160"/>
      <c r="D27" s="2160"/>
      <c r="E27" s="2160"/>
      <c r="F27" s="2160"/>
      <c r="G27" s="2160"/>
      <c r="H27" s="943"/>
      <c r="I27" s="942"/>
      <c r="J27" s="2183" t="s">
        <v>1819</v>
      </c>
      <c r="K27" s="2160"/>
      <c r="L27" s="2160"/>
      <c r="M27" s="2160"/>
      <c r="N27" s="2160"/>
      <c r="O27" s="2160"/>
      <c r="P27" s="2160"/>
      <c r="Q27" s="943"/>
      <c r="R27" s="939"/>
      <c r="S27" s="939"/>
      <c r="T27" s="1125"/>
      <c r="U27" s="1125"/>
      <c r="V27" s="1125"/>
      <c r="W27" s="1125"/>
      <c r="X27" s="1125"/>
      <c r="Y27" s="1125"/>
      <c r="Z27" s="1125"/>
      <c r="AA27" s="1125"/>
      <c r="AB27" s="1125"/>
      <c r="AC27" s="1125"/>
      <c r="AD27" s="1125"/>
      <c r="AE27" s="1125"/>
      <c r="AF27" s="1125"/>
      <c r="AG27" s="1125"/>
      <c r="AH27" s="1125"/>
      <c r="AI27" s="1125"/>
      <c r="AJ27" s="1125"/>
      <c r="AK27" s="1125"/>
      <c r="AL27" s="1125"/>
      <c r="AM27" s="1125"/>
      <c r="AN27" s="1125"/>
      <c r="AO27" s="1125"/>
      <c r="AP27" s="1125"/>
    </row>
    <row r="28" spans="1:42" s="15" customFormat="1" ht="15" customHeight="1" x14ac:dyDescent="0.2">
      <c r="A28" s="2160"/>
      <c r="B28" s="2160"/>
      <c r="C28" s="2160"/>
      <c r="D28" s="2160"/>
      <c r="E28" s="2160"/>
      <c r="F28" s="2160"/>
      <c r="G28" s="2160"/>
      <c r="H28" s="943"/>
      <c r="I28" s="942"/>
      <c r="J28" s="2183"/>
      <c r="K28" s="2160"/>
      <c r="L28" s="2160"/>
      <c r="M28" s="2160"/>
      <c r="N28" s="2160"/>
      <c r="O28" s="2160"/>
      <c r="P28" s="2160"/>
      <c r="Q28" s="943"/>
      <c r="R28" s="939"/>
      <c r="S28" s="939"/>
      <c r="T28" s="1125"/>
      <c r="U28" s="1125"/>
      <c r="V28" s="1125"/>
      <c r="W28" s="1125"/>
      <c r="X28" s="1125"/>
      <c r="Y28" s="1125"/>
      <c r="Z28" s="1125"/>
      <c r="AA28" s="1125"/>
      <c r="AB28" s="1125"/>
      <c r="AC28" s="1125"/>
      <c r="AD28" s="1125"/>
      <c r="AE28" s="1125"/>
      <c r="AF28" s="1125"/>
      <c r="AG28" s="1125"/>
      <c r="AH28" s="1125"/>
      <c r="AI28" s="1125"/>
      <c r="AJ28" s="1125"/>
      <c r="AK28" s="1125"/>
      <c r="AL28" s="1125"/>
      <c r="AM28" s="1125"/>
      <c r="AN28" s="1125"/>
      <c r="AO28" s="1125"/>
      <c r="AP28" s="1125"/>
    </row>
    <row r="29" spans="1:42" s="15" customFormat="1" ht="15" customHeight="1" x14ac:dyDescent="0.2">
      <c r="A29" s="943"/>
      <c r="B29" s="943"/>
      <c r="C29" s="943"/>
      <c r="D29" s="943"/>
      <c r="E29" s="943"/>
      <c r="F29" s="943"/>
      <c r="G29" s="943"/>
      <c r="H29" s="943"/>
      <c r="I29" s="942"/>
      <c r="J29" s="944"/>
      <c r="K29" s="943"/>
      <c r="L29" s="943"/>
      <c r="M29" s="943"/>
      <c r="N29" s="943"/>
      <c r="O29" s="943"/>
      <c r="P29" s="943"/>
      <c r="Q29" s="943"/>
      <c r="R29" s="939"/>
      <c r="S29" s="939"/>
      <c r="T29" s="1125"/>
      <c r="U29" s="1125"/>
      <c r="V29" s="1125"/>
      <c r="W29" s="1125"/>
      <c r="X29" s="1125"/>
      <c r="Y29" s="1125"/>
      <c r="Z29" s="1125"/>
      <c r="AA29" s="1125"/>
      <c r="AB29" s="1125"/>
      <c r="AC29" s="1125"/>
      <c r="AD29" s="1125"/>
      <c r="AE29" s="1125"/>
      <c r="AF29" s="1125"/>
      <c r="AG29" s="1125"/>
      <c r="AH29" s="1125"/>
      <c r="AI29" s="1125"/>
      <c r="AJ29" s="1125"/>
      <c r="AK29" s="1125"/>
      <c r="AL29" s="1125"/>
      <c r="AM29" s="1125"/>
      <c r="AN29" s="1125"/>
      <c r="AO29" s="1125"/>
      <c r="AP29" s="1125"/>
    </row>
    <row r="30" spans="1:42" s="15" customFormat="1" ht="15" customHeight="1" x14ac:dyDescent="0.2">
      <c r="A30" s="943"/>
      <c r="B30" s="943"/>
      <c r="C30" s="943"/>
      <c r="D30" s="943"/>
      <c r="E30" s="943"/>
      <c r="F30" s="943"/>
      <c r="G30" s="943"/>
      <c r="H30" s="943"/>
      <c r="I30" s="942"/>
      <c r="J30" s="944"/>
      <c r="K30" s="943"/>
      <c r="L30" s="943"/>
      <c r="M30" s="943"/>
      <c r="N30" s="943"/>
      <c r="O30" s="943"/>
      <c r="P30" s="943"/>
      <c r="Q30" s="943"/>
      <c r="R30" s="939"/>
      <c r="S30" s="939"/>
      <c r="T30" s="1125"/>
      <c r="U30" s="1125"/>
      <c r="V30" s="1125"/>
      <c r="W30" s="1125"/>
      <c r="X30" s="1125"/>
      <c r="Y30" s="1125"/>
      <c r="Z30" s="1125"/>
      <c r="AA30" s="1125"/>
      <c r="AB30" s="1125"/>
      <c r="AC30" s="1125"/>
      <c r="AD30" s="1125"/>
      <c r="AE30" s="1125"/>
      <c r="AF30" s="1125"/>
      <c r="AG30" s="1125"/>
      <c r="AH30" s="1125"/>
      <c r="AI30" s="1125"/>
      <c r="AJ30" s="1125"/>
      <c r="AK30" s="1125"/>
      <c r="AL30" s="1125"/>
      <c r="AM30" s="1125"/>
      <c r="AN30" s="1125"/>
      <c r="AO30" s="1125"/>
      <c r="AP30" s="1125"/>
    </row>
    <row r="31" spans="1:42" s="15" customFormat="1" ht="15" customHeight="1" x14ac:dyDescent="0.2">
      <c r="A31" s="943"/>
      <c r="B31" s="943"/>
      <c r="C31" s="943"/>
      <c r="D31" s="943"/>
      <c r="E31" s="943"/>
      <c r="F31" s="943"/>
      <c r="G31" s="943"/>
      <c r="H31" s="943"/>
      <c r="I31" s="942"/>
      <c r="J31" s="944"/>
      <c r="K31" s="943"/>
      <c r="L31" s="943"/>
      <c r="M31" s="943"/>
      <c r="N31" s="943"/>
      <c r="O31" s="943"/>
      <c r="P31" s="943"/>
      <c r="Q31" s="943"/>
      <c r="R31" s="939"/>
      <c r="S31" s="939"/>
      <c r="T31" s="1125"/>
      <c r="U31" s="1125"/>
      <c r="V31" s="1125"/>
      <c r="W31" s="1125"/>
      <c r="X31" s="1125"/>
      <c r="Y31" s="1125"/>
      <c r="Z31" s="1125"/>
      <c r="AA31" s="1125"/>
      <c r="AB31" s="1125"/>
      <c r="AC31" s="1125"/>
      <c r="AD31" s="1125"/>
      <c r="AE31" s="1125"/>
      <c r="AF31" s="1125"/>
      <c r="AG31" s="1125"/>
      <c r="AH31" s="1125"/>
      <c r="AI31" s="1125"/>
      <c r="AJ31" s="1125"/>
      <c r="AK31" s="1125"/>
      <c r="AL31" s="1125"/>
      <c r="AM31" s="1125"/>
      <c r="AN31" s="1125"/>
      <c r="AO31" s="1125"/>
      <c r="AP31" s="1125"/>
    </row>
    <row r="32" spans="1:42" s="15" customFormat="1" ht="15" customHeight="1" x14ac:dyDescent="0.2">
      <c r="A32" s="943"/>
      <c r="B32" s="943"/>
      <c r="C32" s="943"/>
      <c r="D32" s="943"/>
      <c r="E32" s="943"/>
      <c r="F32" s="943"/>
      <c r="G32" s="943"/>
      <c r="H32" s="943"/>
      <c r="I32" s="942"/>
      <c r="J32" s="944"/>
      <c r="K32" s="943"/>
      <c r="L32" s="943"/>
      <c r="M32" s="943"/>
      <c r="N32" s="943"/>
      <c r="O32" s="943"/>
      <c r="P32" s="943"/>
      <c r="Q32" s="943"/>
      <c r="R32" s="939"/>
      <c r="S32" s="939"/>
      <c r="T32" s="1125"/>
      <c r="U32" s="1125"/>
      <c r="V32" s="1125"/>
      <c r="W32" s="1125"/>
      <c r="X32" s="1125"/>
      <c r="Y32" s="1125"/>
      <c r="Z32" s="1125"/>
      <c r="AA32" s="1125"/>
      <c r="AB32" s="1125"/>
      <c r="AC32" s="1125"/>
      <c r="AD32" s="1125"/>
      <c r="AE32" s="1125"/>
      <c r="AF32" s="1125"/>
      <c r="AG32" s="1125"/>
      <c r="AH32" s="1125"/>
      <c r="AI32" s="1125"/>
      <c r="AJ32" s="1125"/>
      <c r="AK32" s="1125"/>
      <c r="AL32" s="1125"/>
      <c r="AM32" s="1125"/>
      <c r="AN32" s="1125"/>
      <c r="AO32" s="1125"/>
      <c r="AP32" s="1125"/>
    </row>
    <row r="33" spans="1:42" s="15" customFormat="1" ht="15" customHeight="1" x14ac:dyDescent="0.2">
      <c r="A33" s="943"/>
      <c r="B33" s="943"/>
      <c r="C33" s="943"/>
      <c r="D33" s="943"/>
      <c r="E33" s="943"/>
      <c r="F33" s="943"/>
      <c r="G33" s="943"/>
      <c r="H33" s="943"/>
      <c r="I33" s="942"/>
      <c r="J33" s="944"/>
      <c r="K33" s="943"/>
      <c r="L33" s="943"/>
      <c r="M33" s="943"/>
      <c r="N33" s="943"/>
      <c r="O33" s="943"/>
      <c r="P33" s="943"/>
      <c r="Q33" s="943"/>
      <c r="R33" s="939"/>
      <c r="S33" s="939"/>
      <c r="T33" s="1125"/>
      <c r="U33" s="1125"/>
      <c r="V33" s="1125"/>
      <c r="W33" s="1125"/>
      <c r="X33" s="1125"/>
      <c r="Y33" s="1125"/>
      <c r="Z33" s="1125"/>
      <c r="AA33" s="1125"/>
      <c r="AB33" s="1125"/>
      <c r="AC33" s="1125"/>
      <c r="AD33" s="1125"/>
      <c r="AE33" s="1125"/>
      <c r="AF33" s="1125"/>
      <c r="AG33" s="1125"/>
      <c r="AH33" s="1125"/>
      <c r="AI33" s="1125"/>
      <c r="AJ33" s="1125"/>
      <c r="AK33" s="1125"/>
      <c r="AL33" s="1125"/>
      <c r="AM33" s="1125"/>
      <c r="AN33" s="1125"/>
      <c r="AO33" s="1125"/>
      <c r="AP33" s="1125"/>
    </row>
    <row r="34" spans="1:42" s="15" customFormat="1" ht="15" customHeight="1" x14ac:dyDescent="0.2">
      <c r="A34" s="943"/>
      <c r="B34" s="943"/>
      <c r="C34" s="943"/>
      <c r="D34" s="943"/>
      <c r="E34" s="943"/>
      <c r="F34" s="943"/>
      <c r="G34" s="943"/>
      <c r="H34" s="943"/>
      <c r="I34" s="942"/>
      <c r="J34" s="944"/>
      <c r="K34" s="943"/>
      <c r="L34" s="943"/>
      <c r="M34" s="943"/>
      <c r="N34" s="943"/>
      <c r="O34" s="943"/>
      <c r="P34" s="943"/>
      <c r="Q34" s="943"/>
      <c r="R34" s="939"/>
      <c r="S34" s="939"/>
      <c r="T34" s="1125"/>
      <c r="U34" s="1125"/>
      <c r="V34" s="1125"/>
      <c r="W34" s="1125"/>
      <c r="X34" s="1125"/>
      <c r="Y34" s="1125"/>
      <c r="Z34" s="1125"/>
      <c r="AA34" s="1125"/>
      <c r="AB34" s="1125"/>
      <c r="AC34" s="1125"/>
      <c r="AD34" s="1125"/>
      <c r="AE34" s="1125"/>
      <c r="AF34" s="1125"/>
      <c r="AG34" s="1125"/>
      <c r="AH34" s="1125"/>
      <c r="AI34" s="1125"/>
      <c r="AJ34" s="1125"/>
      <c r="AK34" s="1125"/>
      <c r="AL34" s="1125"/>
      <c r="AM34" s="1125"/>
      <c r="AN34" s="1125"/>
      <c r="AO34" s="1125"/>
      <c r="AP34" s="1125"/>
    </row>
    <row r="35" spans="1:42" s="15" customFormat="1" ht="15" customHeight="1" x14ac:dyDescent="0.2">
      <c r="A35" s="943"/>
      <c r="B35" s="943"/>
      <c r="C35" s="943"/>
      <c r="D35" s="943"/>
      <c r="E35" s="943"/>
      <c r="F35" s="943"/>
      <c r="G35" s="943"/>
      <c r="H35" s="943"/>
      <c r="I35" s="942"/>
      <c r="J35" s="944"/>
      <c r="K35" s="943"/>
      <c r="L35" s="943"/>
      <c r="M35" s="943"/>
      <c r="N35" s="943"/>
      <c r="O35" s="943"/>
      <c r="P35" s="943"/>
      <c r="Q35" s="943"/>
      <c r="R35" s="939"/>
      <c r="S35" s="939"/>
      <c r="T35" s="1125"/>
      <c r="U35" s="1125"/>
      <c r="V35" s="1125"/>
      <c r="W35" s="1125"/>
      <c r="X35" s="1125"/>
      <c r="Y35" s="1125"/>
      <c r="Z35" s="1125"/>
      <c r="AA35" s="1125"/>
      <c r="AB35" s="1125"/>
      <c r="AC35" s="1125"/>
      <c r="AD35" s="1125"/>
      <c r="AE35" s="1125"/>
      <c r="AF35" s="1125"/>
      <c r="AG35" s="1125"/>
      <c r="AH35" s="1125"/>
      <c r="AI35" s="1125"/>
      <c r="AJ35" s="1125"/>
      <c r="AK35" s="1125"/>
      <c r="AL35" s="1125"/>
      <c r="AM35" s="1125"/>
      <c r="AN35" s="1125"/>
      <c r="AO35" s="1125"/>
      <c r="AP35" s="1125"/>
    </row>
    <row r="36" spans="1:42" s="15" customFormat="1" ht="15" customHeight="1" x14ac:dyDescent="0.2">
      <c r="A36" s="943"/>
      <c r="B36" s="943"/>
      <c r="C36" s="943"/>
      <c r="D36" s="943"/>
      <c r="E36" s="943"/>
      <c r="F36" s="943"/>
      <c r="G36" s="943"/>
      <c r="H36" s="943"/>
      <c r="I36" s="942"/>
      <c r="J36" s="944"/>
      <c r="K36" s="943"/>
      <c r="L36" s="943"/>
      <c r="M36" s="943"/>
      <c r="N36" s="943"/>
      <c r="O36" s="943"/>
      <c r="P36" s="943"/>
      <c r="Q36" s="943"/>
      <c r="R36" s="939"/>
      <c r="S36" s="939"/>
      <c r="T36" s="1125"/>
      <c r="U36" s="1125"/>
      <c r="V36" s="1125"/>
      <c r="W36" s="1125"/>
      <c r="X36" s="1125"/>
      <c r="Y36" s="1125"/>
      <c r="Z36" s="1125"/>
      <c r="AA36" s="1125"/>
      <c r="AB36" s="1125"/>
      <c r="AC36" s="1125"/>
      <c r="AD36" s="1125"/>
      <c r="AE36" s="1125"/>
      <c r="AF36" s="1125"/>
      <c r="AG36" s="1125"/>
      <c r="AH36" s="1125"/>
      <c r="AI36" s="1125"/>
      <c r="AJ36" s="1125"/>
      <c r="AK36" s="1125"/>
      <c r="AL36" s="1125"/>
      <c r="AM36" s="1125"/>
      <c r="AN36" s="1125"/>
      <c r="AO36" s="1125"/>
      <c r="AP36" s="1125"/>
    </row>
    <row r="37" spans="1:42" s="15" customFormat="1" ht="15" customHeight="1" x14ac:dyDescent="0.2">
      <c r="A37" s="943"/>
      <c r="B37" s="943"/>
      <c r="C37" s="943"/>
      <c r="D37" s="943"/>
      <c r="E37" s="943"/>
      <c r="F37" s="943"/>
      <c r="G37" s="943"/>
      <c r="H37" s="943"/>
      <c r="I37" s="942"/>
      <c r="J37" s="944"/>
      <c r="K37" s="943"/>
      <c r="L37" s="943"/>
      <c r="M37" s="943"/>
      <c r="N37" s="943"/>
      <c r="O37" s="943"/>
      <c r="P37" s="943"/>
      <c r="Q37" s="943"/>
      <c r="R37" s="939"/>
      <c r="S37" s="939"/>
      <c r="T37" s="1125"/>
      <c r="U37" s="1125"/>
      <c r="V37" s="1125"/>
      <c r="W37" s="1125"/>
      <c r="X37" s="1125"/>
      <c r="Y37" s="1125"/>
      <c r="Z37" s="1125"/>
      <c r="AA37" s="1125"/>
      <c r="AB37" s="1125"/>
      <c r="AC37" s="1125"/>
      <c r="AD37" s="1125"/>
      <c r="AE37" s="1125"/>
      <c r="AF37" s="1125"/>
      <c r="AG37" s="1125"/>
      <c r="AH37" s="1125"/>
      <c r="AI37" s="1125"/>
      <c r="AJ37" s="1125"/>
      <c r="AK37" s="1125"/>
      <c r="AL37" s="1125"/>
      <c r="AM37" s="1125"/>
      <c r="AN37" s="1125"/>
      <c r="AO37" s="1125"/>
      <c r="AP37" s="1125"/>
    </row>
    <row r="38" spans="1:42" s="15" customFormat="1" ht="15" customHeight="1" x14ac:dyDescent="0.2">
      <c r="A38" s="943"/>
      <c r="B38" s="943"/>
      <c r="C38" s="943"/>
      <c r="D38" s="943"/>
      <c r="E38" s="943"/>
      <c r="F38" s="943"/>
      <c r="G38" s="943"/>
      <c r="H38" s="943"/>
      <c r="I38" s="942"/>
      <c r="J38" s="944"/>
      <c r="K38" s="943"/>
      <c r="L38" s="943"/>
      <c r="M38" s="943"/>
      <c r="N38" s="943"/>
      <c r="O38" s="943"/>
      <c r="P38" s="943"/>
      <c r="Q38" s="943"/>
      <c r="R38" s="939"/>
      <c r="S38" s="939"/>
      <c r="T38" s="1125"/>
      <c r="U38" s="1125"/>
      <c r="V38" s="1125"/>
      <c r="W38" s="1125"/>
      <c r="X38" s="1125"/>
      <c r="Y38" s="1125"/>
      <c r="Z38" s="1125"/>
      <c r="AA38" s="1125"/>
      <c r="AB38" s="1125"/>
      <c r="AC38" s="1125"/>
      <c r="AD38" s="1125"/>
      <c r="AE38" s="1125"/>
      <c r="AF38" s="1125"/>
      <c r="AG38" s="1125"/>
      <c r="AH38" s="1125"/>
      <c r="AI38" s="1125"/>
      <c r="AJ38" s="1125"/>
      <c r="AK38" s="1125"/>
      <c r="AL38" s="1125"/>
      <c r="AM38" s="1125"/>
      <c r="AN38" s="1125"/>
      <c r="AO38" s="1125"/>
      <c r="AP38" s="1125"/>
    </row>
    <row r="39" spans="1:42" s="15" customFormat="1" ht="15" customHeight="1" x14ac:dyDescent="0.2">
      <c r="A39" s="943"/>
      <c r="B39" s="943"/>
      <c r="C39" s="943"/>
      <c r="D39" s="943"/>
      <c r="E39" s="943"/>
      <c r="F39" s="943"/>
      <c r="G39" s="943"/>
      <c r="H39" s="943"/>
      <c r="I39" s="942"/>
      <c r="J39" s="944"/>
      <c r="K39" s="943"/>
      <c r="L39" s="943"/>
      <c r="M39" s="943"/>
      <c r="N39" s="943"/>
      <c r="O39" s="943"/>
      <c r="P39" s="943"/>
      <c r="Q39" s="943"/>
      <c r="R39" s="939"/>
      <c r="S39" s="939"/>
      <c r="T39" s="1125"/>
      <c r="U39" s="1125"/>
      <c r="V39" s="1125"/>
      <c r="W39" s="1125"/>
      <c r="X39" s="1125"/>
      <c r="Y39" s="1125"/>
      <c r="Z39" s="1125"/>
      <c r="AA39" s="1125"/>
      <c r="AB39" s="1125"/>
      <c r="AC39" s="1125"/>
      <c r="AD39" s="1125"/>
      <c r="AE39" s="1125"/>
      <c r="AF39" s="1125"/>
      <c r="AG39" s="1125"/>
      <c r="AH39" s="1125"/>
      <c r="AI39" s="1125"/>
      <c r="AJ39" s="1125"/>
      <c r="AK39" s="1125"/>
      <c r="AL39" s="1125"/>
      <c r="AM39" s="1125"/>
      <c r="AN39" s="1125"/>
      <c r="AO39" s="1125"/>
      <c r="AP39" s="1125"/>
    </row>
    <row r="40" spans="1:42" s="1125" customFormat="1" ht="18" customHeight="1" x14ac:dyDescent="0.2">
      <c r="A40" s="346"/>
      <c r="B40" s="1132" t="s">
        <v>2140</v>
      </c>
      <c r="C40" s="939"/>
      <c r="D40" s="939"/>
      <c r="E40" s="939"/>
      <c r="F40" s="939"/>
      <c r="G40" s="939"/>
      <c r="H40" s="939"/>
      <c r="I40" s="942"/>
      <c r="J40" s="939"/>
      <c r="K40" s="939"/>
      <c r="L40" s="939"/>
      <c r="M40" s="939"/>
      <c r="N40" s="939"/>
      <c r="O40" s="939"/>
      <c r="P40" s="939"/>
      <c r="Q40" s="939"/>
      <c r="R40" s="939"/>
      <c r="S40" s="939"/>
    </row>
    <row r="41" spans="1:42" s="42" customFormat="1" ht="27.75" customHeight="1" x14ac:dyDescent="0.25">
      <c r="A41" s="53"/>
      <c r="B41" s="507" t="s">
        <v>915</v>
      </c>
      <c r="C41" s="2179" t="s">
        <v>883</v>
      </c>
      <c r="D41" s="2179"/>
      <c r="E41" s="2180" t="s">
        <v>2148</v>
      </c>
      <c r="F41" s="2180"/>
      <c r="G41" s="2180" t="s">
        <v>2149</v>
      </c>
      <c r="H41" s="2180"/>
      <c r="I41" s="1120" t="s">
        <v>2150</v>
      </c>
      <c r="J41" s="1120" t="s">
        <v>909</v>
      </c>
      <c r="K41" s="1120" t="s">
        <v>2151</v>
      </c>
      <c r="L41" s="2180" t="s">
        <v>2152</v>
      </c>
      <c r="M41" s="2181"/>
      <c r="N41" s="53"/>
      <c r="O41" s="53"/>
      <c r="P41" s="53"/>
      <c r="Q41" s="53"/>
      <c r="R41" s="53"/>
      <c r="S41" s="42" t="s">
        <v>2153</v>
      </c>
      <c r="T41" s="42" t="s">
        <v>2144</v>
      </c>
      <c r="U41" s="42" t="s">
        <v>900</v>
      </c>
      <c r="V41" s="42" t="s">
        <v>901</v>
      </c>
      <c r="W41" s="42" t="s">
        <v>902</v>
      </c>
      <c r="X41" s="42" t="s">
        <v>2145</v>
      </c>
      <c r="Y41" s="42" t="s">
        <v>2146</v>
      </c>
      <c r="Z41" s="42" t="s">
        <v>2147</v>
      </c>
      <c r="AA41" s="1136"/>
      <c r="AB41" s="1136"/>
      <c r="AC41" s="1136"/>
    </row>
    <row r="42" spans="1:42" s="42" customFormat="1" ht="16.5" customHeight="1" x14ac:dyDescent="0.25">
      <c r="A42" s="53"/>
      <c r="B42" s="1126"/>
      <c r="C42" s="2175" t="s">
        <v>129</v>
      </c>
      <c r="D42" s="2176"/>
      <c r="E42" s="2175"/>
      <c r="F42" s="2176"/>
      <c r="G42" s="2175"/>
      <c r="H42" s="2176"/>
      <c r="I42" s="1126"/>
      <c r="J42" s="1133" t="str">
        <f t="shared" ref="J42:J49" si="0">IFERROR(E42/G42,"")</f>
        <v/>
      </c>
      <c r="K42" s="1133" t="str">
        <f t="shared" ref="K42:K49" si="1">IFERROR(I42/G42,"")</f>
        <v/>
      </c>
      <c r="L42" s="2185" t="str">
        <f t="shared" ref="L42:L49" si="2">IFERROR(IF(K42&lt;=0.1,IF(S42=T42,AVERAGE(X42:Y42),X42+(J42-S42)*(Y42-X42)/(T42-S42)),""),"")</f>
        <v/>
      </c>
      <c r="M42" s="2186"/>
      <c r="N42" s="53" t="str">
        <f t="shared" ref="N42:N47" si="3">IF(K42="","",IF(K42&gt;0.1,"Unapplicable: d/H&gt;0.1",""))</f>
        <v/>
      </c>
      <c r="O42" s="53"/>
      <c r="P42" s="53"/>
      <c r="Q42" s="53"/>
      <c r="R42" s="53"/>
      <c r="S42" s="42" t="str">
        <f>IF(J42="","",IF(J42&lt;0.1,0,IF(J42&lt;0.2,0.1,IF(J42&lt;0.3,0.2,IF(J42&lt;0.4,0.3,IF(J42&lt;0.5,0.4,IF(J42&lt;0.6,0.5,IF(J42&lt;0.7,0.6,IF(J42&lt;0.8,0.7,IF(J42&lt;0.9,0.8,0.9))))))))))</f>
        <v/>
      </c>
      <c r="T42" s="42" t="str">
        <f t="shared" ref="T42:T49" si="4">IF(J42="","",IF(J42&lt;=0.1,0.1,IF(J42&lt;=0.2,0.2,IF(J42&lt;=0.3,0.3,IF(J42&lt;=0.4,0.4,IF(J42&lt;=0.5,0.5,IF(J42&lt;=0.6,0.6,IF(J42&lt;=0.7,0.7,IF(J42&lt;=0.8,0.8,IF(J42&lt;=0.9,0.9,1))))))))))</f>
        <v/>
      </c>
      <c r="U42" s="42" t="e">
        <f t="shared" ref="U42:U49" si="5">MATCH(C42,$V$10:$AD$10,0)</f>
        <v>#N/A</v>
      </c>
      <c r="V42" s="42" t="e">
        <f>MATCH(S42,$V$10:$V$21,0)</f>
        <v>#N/A</v>
      </c>
      <c r="W42" s="42" t="e">
        <f>MATCH(T42,$V$10:$V$21,0)</f>
        <v>#N/A</v>
      </c>
      <c r="X42" s="42" t="e">
        <f>INDEX($V$10:$AD$21,V42,U42)</f>
        <v>#N/A</v>
      </c>
      <c r="Y42" s="42" t="e">
        <f>INDEX($V$10:$AD$21,W42,U42)</f>
        <v>#N/A</v>
      </c>
      <c r="Z42" s="42">
        <f t="shared" ref="Z42:Z49" si="6">IFERROR(IF(K42&lt;=0.1,IF(S42=T42,AVERAGE(X42:Y42),X42+(J42-S42)*(Y42-X42)/(T42-S42)),0),0)</f>
        <v>0</v>
      </c>
    </row>
    <row r="43" spans="1:42" s="42" customFormat="1" ht="16.5" customHeight="1" x14ac:dyDescent="0.25">
      <c r="A43" s="53"/>
      <c r="B43" s="1127"/>
      <c r="C43" s="2175" t="s">
        <v>129</v>
      </c>
      <c r="D43" s="2176"/>
      <c r="E43" s="2175"/>
      <c r="F43" s="2176"/>
      <c r="G43" s="2175"/>
      <c r="H43" s="2176"/>
      <c r="I43" s="1127"/>
      <c r="J43" s="1134" t="str">
        <f t="shared" si="0"/>
        <v/>
      </c>
      <c r="K43" s="1134" t="str">
        <f t="shared" si="1"/>
        <v/>
      </c>
      <c r="L43" s="2177" t="str">
        <f t="shared" si="2"/>
        <v/>
      </c>
      <c r="M43" s="2178"/>
      <c r="N43" s="53" t="str">
        <f t="shared" si="3"/>
        <v/>
      </c>
      <c r="O43" s="53"/>
      <c r="P43" s="53"/>
      <c r="Q43" s="53"/>
      <c r="R43" s="53"/>
      <c r="S43" s="42" t="str">
        <f>IF(J43="","",IF(J43&lt;0.1,0,IF(J43&lt;0.2,0.1,IF(J43&lt;0.3,0.2,IF(J43&lt;0.4,0.3,IF(J43&lt;0.5,0.4,IF(J43&lt;0.6,0.5,IF(J43&lt;0.7,0.6,IF(J43&lt;0.8,0.7,IF(J43&lt;0.9,0.8,0.9))))))))))</f>
        <v/>
      </c>
      <c r="T43" s="42" t="str">
        <f t="shared" si="4"/>
        <v/>
      </c>
      <c r="U43" s="42" t="e">
        <f t="shared" si="5"/>
        <v>#N/A</v>
      </c>
      <c r="V43" s="42" t="e">
        <f t="shared" ref="V43:W49" si="7">MATCH(S43,$V$10:$V$21,0)</f>
        <v>#N/A</v>
      </c>
      <c r="W43" s="42" t="e">
        <f t="shared" si="7"/>
        <v>#N/A</v>
      </c>
      <c r="X43" s="42" t="e">
        <f t="shared" ref="X43:X49" si="8">INDEX($V$10:$AD$21,V43,U43)</f>
        <v>#N/A</v>
      </c>
      <c r="Y43" s="42" t="e">
        <f t="shared" ref="Y43:Y49" si="9">INDEX($V$10:$AD$21,W43,U43)</f>
        <v>#N/A</v>
      </c>
      <c r="Z43" s="42">
        <f t="shared" si="6"/>
        <v>0</v>
      </c>
    </row>
    <row r="44" spans="1:42" s="42" customFormat="1" ht="16.5" customHeight="1" x14ac:dyDescent="0.25">
      <c r="A44" s="53"/>
      <c r="B44" s="1127"/>
      <c r="C44" s="2175" t="s">
        <v>129</v>
      </c>
      <c r="D44" s="2176"/>
      <c r="E44" s="2175"/>
      <c r="F44" s="2176"/>
      <c r="G44" s="2175"/>
      <c r="H44" s="2176"/>
      <c r="I44" s="1127"/>
      <c r="J44" s="1134" t="str">
        <f t="shared" si="0"/>
        <v/>
      </c>
      <c r="K44" s="1134" t="str">
        <f t="shared" si="1"/>
        <v/>
      </c>
      <c r="L44" s="2177" t="str">
        <f t="shared" si="2"/>
        <v/>
      </c>
      <c r="M44" s="2178"/>
      <c r="N44" s="53" t="str">
        <f t="shared" si="3"/>
        <v/>
      </c>
      <c r="O44" s="53"/>
      <c r="P44" s="53"/>
      <c r="Q44" s="53"/>
      <c r="R44" s="53"/>
      <c r="S44" s="42" t="str">
        <f t="shared" ref="S44:S49" si="10">IF(J44="","",IF(J44&lt;0.1,0,IF(J44&lt;0.2,0.1,IF(J44&lt;0.3,0.2,IF(J44&lt;0.4,0.3,IF(J44&lt;0.5,0.4,IF(J44&lt;0.6,0.5,IF(J44&lt;0.7,0.6,IF(J44&lt;0.8,0.7,IF(J44&lt;0.9,0.8,0.9))))))))))</f>
        <v/>
      </c>
      <c r="T44" s="42" t="str">
        <f t="shared" si="4"/>
        <v/>
      </c>
      <c r="U44" s="42" t="e">
        <f t="shared" si="5"/>
        <v>#N/A</v>
      </c>
      <c r="V44" s="42" t="e">
        <f t="shared" si="7"/>
        <v>#N/A</v>
      </c>
      <c r="W44" s="42" t="e">
        <f t="shared" si="7"/>
        <v>#N/A</v>
      </c>
      <c r="X44" s="42" t="e">
        <f t="shared" si="8"/>
        <v>#N/A</v>
      </c>
      <c r="Y44" s="42" t="e">
        <f t="shared" si="9"/>
        <v>#N/A</v>
      </c>
      <c r="Z44" s="42">
        <f t="shared" si="6"/>
        <v>0</v>
      </c>
    </row>
    <row r="45" spans="1:42" s="42" customFormat="1" ht="16.5" customHeight="1" x14ac:dyDescent="0.25">
      <c r="A45" s="53"/>
      <c r="B45" s="1127"/>
      <c r="C45" s="2175" t="s">
        <v>129</v>
      </c>
      <c r="D45" s="2176"/>
      <c r="E45" s="2175"/>
      <c r="F45" s="2176"/>
      <c r="G45" s="2175"/>
      <c r="H45" s="2176"/>
      <c r="I45" s="1127"/>
      <c r="J45" s="1134" t="str">
        <f t="shared" si="0"/>
        <v/>
      </c>
      <c r="K45" s="1134" t="str">
        <f t="shared" si="1"/>
        <v/>
      </c>
      <c r="L45" s="2177" t="str">
        <f t="shared" si="2"/>
        <v/>
      </c>
      <c r="M45" s="2178"/>
      <c r="N45" s="53" t="str">
        <f t="shared" si="3"/>
        <v/>
      </c>
      <c r="O45" s="53"/>
      <c r="P45" s="53"/>
      <c r="Q45" s="53"/>
      <c r="R45" s="53"/>
      <c r="S45" s="42" t="str">
        <f t="shared" si="10"/>
        <v/>
      </c>
      <c r="T45" s="42" t="str">
        <f t="shared" si="4"/>
        <v/>
      </c>
      <c r="U45" s="42" t="e">
        <f t="shared" si="5"/>
        <v>#N/A</v>
      </c>
      <c r="V45" s="42" t="e">
        <f t="shared" si="7"/>
        <v>#N/A</v>
      </c>
      <c r="W45" s="42" t="e">
        <f t="shared" si="7"/>
        <v>#N/A</v>
      </c>
      <c r="X45" s="42" t="e">
        <f t="shared" si="8"/>
        <v>#N/A</v>
      </c>
      <c r="Y45" s="42" t="e">
        <f t="shared" si="9"/>
        <v>#N/A</v>
      </c>
      <c r="Z45" s="42">
        <f t="shared" si="6"/>
        <v>0</v>
      </c>
    </row>
    <row r="46" spans="1:42" s="42" customFormat="1" ht="16.5" customHeight="1" x14ac:dyDescent="0.25">
      <c r="A46" s="53"/>
      <c r="B46" s="1127"/>
      <c r="C46" s="2175" t="s">
        <v>129</v>
      </c>
      <c r="D46" s="2176"/>
      <c r="E46" s="2175"/>
      <c r="F46" s="2176"/>
      <c r="G46" s="2175"/>
      <c r="H46" s="2176"/>
      <c r="I46" s="1127"/>
      <c r="J46" s="1135" t="str">
        <f t="shared" si="0"/>
        <v/>
      </c>
      <c r="K46" s="1135" t="str">
        <f t="shared" si="1"/>
        <v/>
      </c>
      <c r="L46" s="2177" t="str">
        <f t="shared" si="2"/>
        <v/>
      </c>
      <c r="M46" s="2178"/>
      <c r="N46" s="53" t="str">
        <f t="shared" si="3"/>
        <v/>
      </c>
      <c r="O46" s="53"/>
      <c r="P46" s="53"/>
      <c r="Q46" s="53"/>
      <c r="R46" s="53"/>
      <c r="S46" s="42" t="str">
        <f t="shared" si="10"/>
        <v/>
      </c>
      <c r="T46" s="42" t="str">
        <f t="shared" si="4"/>
        <v/>
      </c>
      <c r="U46" s="42" t="e">
        <f t="shared" si="5"/>
        <v>#N/A</v>
      </c>
      <c r="V46" s="42" t="e">
        <f t="shared" si="7"/>
        <v>#N/A</v>
      </c>
      <c r="W46" s="42" t="e">
        <f t="shared" si="7"/>
        <v>#N/A</v>
      </c>
      <c r="X46" s="42" t="e">
        <f t="shared" si="8"/>
        <v>#N/A</v>
      </c>
      <c r="Y46" s="42" t="e">
        <f t="shared" si="9"/>
        <v>#N/A</v>
      </c>
      <c r="Z46" s="42">
        <f t="shared" si="6"/>
        <v>0</v>
      </c>
    </row>
    <row r="47" spans="1:42" s="42" customFormat="1" ht="16.5" customHeight="1" x14ac:dyDescent="0.25">
      <c r="A47" s="53"/>
      <c r="B47" s="1127"/>
      <c r="C47" s="2175" t="s">
        <v>129</v>
      </c>
      <c r="D47" s="2176"/>
      <c r="E47" s="2175"/>
      <c r="F47" s="2176"/>
      <c r="G47" s="2175"/>
      <c r="H47" s="2176"/>
      <c r="I47" s="1127"/>
      <c r="J47" s="1135" t="str">
        <f t="shared" si="0"/>
        <v/>
      </c>
      <c r="K47" s="1135" t="str">
        <f t="shared" si="1"/>
        <v/>
      </c>
      <c r="L47" s="2177" t="str">
        <f t="shared" si="2"/>
        <v/>
      </c>
      <c r="M47" s="2178"/>
      <c r="N47" s="53" t="str">
        <f t="shared" si="3"/>
        <v/>
      </c>
      <c r="O47" s="53"/>
      <c r="P47" s="53"/>
      <c r="Q47" s="53"/>
      <c r="R47" s="53"/>
      <c r="S47" s="42" t="str">
        <f t="shared" si="10"/>
        <v/>
      </c>
      <c r="T47" s="42" t="str">
        <f t="shared" si="4"/>
        <v/>
      </c>
      <c r="U47" s="42" t="e">
        <f t="shared" si="5"/>
        <v>#N/A</v>
      </c>
      <c r="V47" s="42" t="e">
        <f t="shared" si="7"/>
        <v>#N/A</v>
      </c>
      <c r="W47" s="42" t="e">
        <f t="shared" si="7"/>
        <v>#N/A</v>
      </c>
      <c r="X47" s="42" t="e">
        <f t="shared" si="8"/>
        <v>#N/A</v>
      </c>
      <c r="Y47" s="42" t="e">
        <f t="shared" si="9"/>
        <v>#N/A</v>
      </c>
      <c r="Z47" s="42">
        <f t="shared" si="6"/>
        <v>0</v>
      </c>
    </row>
    <row r="48" spans="1:42" s="42" customFormat="1" ht="16.5" customHeight="1" x14ac:dyDescent="0.25">
      <c r="A48" s="53"/>
      <c r="B48" s="1127"/>
      <c r="C48" s="2175" t="s">
        <v>129</v>
      </c>
      <c r="D48" s="2176"/>
      <c r="E48" s="2175"/>
      <c r="F48" s="2176"/>
      <c r="G48" s="2175"/>
      <c r="H48" s="2176"/>
      <c r="I48" s="1127"/>
      <c r="J48" s="1135" t="str">
        <f t="shared" si="0"/>
        <v/>
      </c>
      <c r="K48" s="1135" t="str">
        <f t="shared" si="1"/>
        <v/>
      </c>
      <c r="L48" s="2177" t="str">
        <f t="shared" si="2"/>
        <v/>
      </c>
      <c r="M48" s="2178"/>
      <c r="N48" s="53"/>
      <c r="O48" s="53"/>
      <c r="P48" s="53"/>
      <c r="Q48" s="53"/>
      <c r="R48" s="53"/>
      <c r="S48" s="42" t="str">
        <f t="shared" si="10"/>
        <v/>
      </c>
      <c r="T48" s="42" t="str">
        <f t="shared" si="4"/>
        <v/>
      </c>
      <c r="U48" s="42" t="e">
        <f t="shared" si="5"/>
        <v>#N/A</v>
      </c>
      <c r="V48" s="42" t="e">
        <f t="shared" si="7"/>
        <v>#N/A</v>
      </c>
      <c r="W48" s="42" t="e">
        <f t="shared" si="7"/>
        <v>#N/A</v>
      </c>
      <c r="X48" s="42" t="e">
        <f t="shared" si="8"/>
        <v>#N/A</v>
      </c>
      <c r="Y48" s="42" t="e">
        <f t="shared" si="9"/>
        <v>#N/A</v>
      </c>
      <c r="Z48" s="42">
        <f t="shared" si="6"/>
        <v>0</v>
      </c>
    </row>
    <row r="49" spans="1:42" s="42" customFormat="1" ht="16.5" customHeight="1" x14ac:dyDescent="0.25">
      <c r="A49" s="53"/>
      <c r="B49" s="1127"/>
      <c r="C49" s="2175" t="s">
        <v>129</v>
      </c>
      <c r="D49" s="2176"/>
      <c r="E49" s="2175"/>
      <c r="F49" s="2176"/>
      <c r="G49" s="2175"/>
      <c r="H49" s="2176"/>
      <c r="I49" s="1127"/>
      <c r="J49" s="1135" t="str">
        <f t="shared" si="0"/>
        <v/>
      </c>
      <c r="K49" s="1135" t="str">
        <f t="shared" si="1"/>
        <v/>
      </c>
      <c r="L49" s="2177" t="str">
        <f t="shared" si="2"/>
        <v/>
      </c>
      <c r="M49" s="2178"/>
      <c r="N49" s="53" t="str">
        <f>IF(K49="","",IF(K49&gt;0.1,"Unapplicable: d/H&gt;0.1",""))</f>
        <v/>
      </c>
      <c r="O49" s="53"/>
      <c r="P49" s="53"/>
      <c r="Q49" s="53"/>
      <c r="R49" s="53"/>
      <c r="S49" s="42" t="str">
        <f t="shared" si="10"/>
        <v/>
      </c>
      <c r="T49" s="42" t="str">
        <f t="shared" si="4"/>
        <v/>
      </c>
      <c r="U49" s="42" t="e">
        <f t="shared" si="5"/>
        <v>#N/A</v>
      </c>
      <c r="V49" s="42" t="e">
        <f t="shared" si="7"/>
        <v>#N/A</v>
      </c>
      <c r="W49" s="42" t="e">
        <f t="shared" si="7"/>
        <v>#N/A</v>
      </c>
      <c r="X49" s="42" t="e">
        <f t="shared" si="8"/>
        <v>#N/A</v>
      </c>
      <c r="Y49" s="42" t="e">
        <f t="shared" si="9"/>
        <v>#N/A</v>
      </c>
      <c r="Z49" s="42">
        <f t="shared" si="6"/>
        <v>0</v>
      </c>
    </row>
    <row r="50" spans="1:42" s="1125" customFormat="1" ht="15" customHeight="1" x14ac:dyDescent="0.2">
      <c r="A50" s="943"/>
      <c r="B50" s="943"/>
      <c r="C50" s="943"/>
      <c r="D50" s="943"/>
      <c r="E50" s="943"/>
      <c r="F50" s="943"/>
      <c r="G50" s="943"/>
      <c r="H50" s="943"/>
      <c r="I50" s="943"/>
      <c r="J50" s="943"/>
      <c r="K50" s="943"/>
      <c r="L50" s="943"/>
      <c r="M50" s="943"/>
      <c r="N50" s="943"/>
      <c r="O50" s="943"/>
      <c r="P50" s="943"/>
      <c r="Q50" s="943"/>
      <c r="R50" s="939"/>
      <c r="S50" s="939"/>
      <c r="T50" s="1136"/>
      <c r="U50" s="1136"/>
      <c r="V50" s="1136"/>
      <c r="W50" s="1136"/>
      <c r="X50" s="1136"/>
      <c r="Y50" s="1136"/>
      <c r="Z50" s="1136"/>
      <c r="AA50" s="1136"/>
      <c r="AB50" s="1136"/>
      <c r="AC50" s="1136"/>
      <c r="AD50" s="1136"/>
      <c r="AE50" s="1136"/>
    </row>
    <row r="51" spans="1:42" s="1125" customFormat="1" ht="18" customHeight="1" x14ac:dyDescent="0.2">
      <c r="A51" s="346"/>
      <c r="B51" s="1132" t="s">
        <v>2154</v>
      </c>
      <c r="C51" s="939"/>
      <c r="D51" s="939"/>
      <c r="E51" s="939"/>
      <c r="F51" s="939"/>
      <c r="G51" s="939"/>
      <c r="H51" s="939"/>
      <c r="I51" s="939"/>
      <c r="J51" s="939"/>
      <c r="K51" s="939"/>
      <c r="L51" s="939"/>
      <c r="M51" s="939"/>
      <c r="N51" s="939"/>
      <c r="O51" s="939"/>
      <c r="P51" s="939"/>
      <c r="Q51" s="939"/>
      <c r="R51" s="939"/>
      <c r="S51" s="939"/>
      <c r="T51" s="1136"/>
      <c r="U51" s="1136"/>
      <c r="V51" s="1136"/>
      <c r="W51" s="1136"/>
      <c r="X51" s="1136"/>
      <c r="Y51" s="1136"/>
      <c r="Z51" s="1136"/>
      <c r="AA51" s="1136"/>
      <c r="AB51" s="1136"/>
      <c r="AC51" s="1136"/>
      <c r="AD51" s="1136"/>
      <c r="AE51" s="1136"/>
    </row>
    <row r="52" spans="1:42" s="42" customFormat="1" ht="27.75" customHeight="1" x14ac:dyDescent="0.25">
      <c r="A52" s="53"/>
      <c r="B52" s="507" t="s">
        <v>915</v>
      </c>
      <c r="C52" s="2179" t="s">
        <v>883</v>
      </c>
      <c r="D52" s="2179"/>
      <c r="E52" s="2180" t="s">
        <v>2148</v>
      </c>
      <c r="F52" s="2180"/>
      <c r="G52" s="2180" t="s">
        <v>2155</v>
      </c>
      <c r="H52" s="2180"/>
      <c r="I52" s="1120" t="s">
        <v>2156</v>
      </c>
      <c r="J52" s="1120" t="s">
        <v>2157</v>
      </c>
      <c r="K52" s="1120" t="s">
        <v>2158</v>
      </c>
      <c r="L52" s="2180" t="s">
        <v>2152</v>
      </c>
      <c r="M52" s="2181"/>
      <c r="N52" s="53"/>
      <c r="O52" s="53"/>
      <c r="P52" s="53"/>
      <c r="Q52" s="53"/>
      <c r="R52" s="53"/>
      <c r="S52" s="42" t="s">
        <v>2153</v>
      </c>
      <c r="T52" s="42" t="s">
        <v>2144</v>
      </c>
      <c r="U52" s="42" t="s">
        <v>900</v>
      </c>
      <c r="V52" s="42" t="s">
        <v>901</v>
      </c>
      <c r="W52" s="42" t="s">
        <v>902</v>
      </c>
      <c r="X52" s="42" t="s">
        <v>2145</v>
      </c>
      <c r="Y52" s="42" t="s">
        <v>2146</v>
      </c>
      <c r="Z52" s="42" t="s">
        <v>2147</v>
      </c>
      <c r="AA52" s="1136"/>
      <c r="AB52" s="1136"/>
      <c r="AC52" s="1136"/>
    </row>
    <row r="53" spans="1:42" s="42" customFormat="1" ht="16.5" customHeight="1" x14ac:dyDescent="0.25">
      <c r="A53" s="53"/>
      <c r="B53" s="1126"/>
      <c r="C53" s="2175" t="s">
        <v>129</v>
      </c>
      <c r="D53" s="2176"/>
      <c r="E53" s="2175"/>
      <c r="F53" s="2176"/>
      <c r="G53" s="2175"/>
      <c r="H53" s="2176"/>
      <c r="I53" s="1126"/>
      <c r="J53" s="1133" t="str">
        <f t="shared" ref="J53:J60" si="11">IFERROR(E53/G53,"")</f>
        <v/>
      </c>
      <c r="K53" s="1133" t="str">
        <f t="shared" ref="K53:K60" si="12">IFERROR(I53/G53,"")</f>
        <v/>
      </c>
      <c r="L53" s="2185" t="str">
        <f t="shared" ref="L53:L60" si="13">IFERROR(IF(K53&lt;=0.1,IF(S53=T53,AVERAGE(X53:Y53),X53+(J53-S53)*(Y53-X53)/(T53-S53)),""),"")</f>
        <v/>
      </c>
      <c r="M53" s="2186"/>
      <c r="N53" s="53" t="str">
        <f>IF(K53="","",IF(K53&gt;0.1,"Unapplicable: e/B&gt;0.1",""))</f>
        <v/>
      </c>
      <c r="O53" s="53"/>
      <c r="P53" s="53"/>
      <c r="Q53" s="53"/>
      <c r="R53" s="53"/>
      <c r="S53" s="42" t="str">
        <f>IF(J53="","",IF(J53&lt;0.1,0,IF(J53&lt;0.2,0.1,IF(J53&lt;0.3,0.2,IF(J53&lt;0.4,0.3,IF(J53&lt;0.5,0.4,IF(J53&lt;0.6,0.5,IF(J53&lt;0.7,0.6,IF(J53&lt;0.8,0.7,IF(J53&lt;0.9,0.8,0.9))))))))))</f>
        <v/>
      </c>
      <c r="T53" s="42" t="str">
        <f t="shared" ref="T53:T60" si="14">IF(J53="","",IF(J53&lt;=0.1,0.1,IF(J53&lt;=0.2,0.2,IF(J53&lt;=0.3,0.3,IF(J53&lt;=0.4,0.4,IF(J53&lt;=0.5,0.5,IF(J53&lt;=0.6,0.6,IF(J53&lt;=0.7,0.7,IF(J53&lt;=0.8,0.8,IF(J53&lt;=0.9,0.9,1))))))))))</f>
        <v/>
      </c>
      <c r="U53" s="42" t="e">
        <f>MATCH(C53,$AF$10:$AN$10,0)</f>
        <v>#N/A</v>
      </c>
      <c r="V53" s="42" t="e">
        <f>MATCH(S53,$AF$10:$AF$21,0)</f>
        <v>#N/A</v>
      </c>
      <c r="W53" s="42" t="e">
        <f>MATCH(T53,$AF$10:$AF$21,0)</f>
        <v>#N/A</v>
      </c>
      <c r="X53" s="42" t="e">
        <f>INDEX($AF$10:$AN$21,V53,U53)</f>
        <v>#N/A</v>
      </c>
      <c r="Y53" s="42" t="e">
        <f>INDEX($AF$10:$AN$21,W53,U53)</f>
        <v>#N/A</v>
      </c>
      <c r="Z53" s="42">
        <f>IFERROR(IF(K53&lt;=0.1,IF(S53=T53,AVERAGE(X53:Y53),X53+(J53-S53)*(Y53-X53)/(T53-S53)),0),0)</f>
        <v>0</v>
      </c>
    </row>
    <row r="54" spans="1:42" s="42" customFormat="1" ht="16.5" customHeight="1" x14ac:dyDescent="0.25">
      <c r="A54" s="53"/>
      <c r="B54" s="1127"/>
      <c r="C54" s="2175" t="s">
        <v>129</v>
      </c>
      <c r="D54" s="2176"/>
      <c r="E54" s="2175"/>
      <c r="F54" s="2176"/>
      <c r="G54" s="2175"/>
      <c r="H54" s="2176"/>
      <c r="I54" s="1127"/>
      <c r="J54" s="1134" t="str">
        <f t="shared" si="11"/>
        <v/>
      </c>
      <c r="K54" s="1134" t="str">
        <f t="shared" si="12"/>
        <v/>
      </c>
      <c r="L54" s="2177" t="str">
        <f t="shared" si="13"/>
        <v/>
      </c>
      <c r="M54" s="2178"/>
      <c r="N54" s="53" t="str">
        <f t="shared" ref="N54:N60" si="15">IF(K54="","",IF(K54&gt;0.1,"Unapplicable: e/B&gt;0.1",""))</f>
        <v/>
      </c>
      <c r="O54" s="53"/>
      <c r="P54" s="53"/>
      <c r="Q54" s="53"/>
      <c r="R54" s="53"/>
      <c r="S54" s="42" t="str">
        <f t="shared" ref="S54:S60" si="16">IF(J54="","",IF(J54&lt;0.1,0,IF(J54&lt;0.2,0.1,IF(J54&lt;0.3,0.2,IF(J54&lt;0.4,0.3,IF(J54&lt;0.5,0.4,IF(J54&lt;0.6,0.5,IF(J54&lt;0.7,0.6,IF(J54&lt;0.8,0.7,IF(J54&lt;0.9,0.8,0.9))))))))))</f>
        <v/>
      </c>
      <c r="T54" s="42" t="str">
        <f t="shared" si="14"/>
        <v/>
      </c>
      <c r="U54" s="42" t="e">
        <f>MATCH(C54,$AF$10:$AN$10,0)</f>
        <v>#N/A</v>
      </c>
      <c r="V54" s="42" t="e">
        <f t="shared" ref="V54:W60" si="17">MATCH(S54,$AF$10:$AF$21,0)</f>
        <v>#N/A</v>
      </c>
      <c r="W54" s="42" t="e">
        <f t="shared" si="17"/>
        <v>#N/A</v>
      </c>
      <c r="X54" s="42" t="e">
        <f t="shared" ref="X54:X60" si="18">INDEX($AF$10:$AN$21,V54,U54)</f>
        <v>#N/A</v>
      </c>
      <c r="Y54" s="42" t="e">
        <f t="shared" ref="Y54:Y60" si="19">INDEX($AF$10:$AN$21,W54,U54)</f>
        <v>#N/A</v>
      </c>
      <c r="Z54" s="42">
        <f t="shared" ref="Z54:Z60" si="20">IFERROR(IF(K54&lt;=0.1,IF(S54=T54,AVERAGE(X54:Y54),X54+(J54-S54)*(Y54-X54)/(T54-S54)),0),0)</f>
        <v>0</v>
      </c>
    </row>
    <row r="55" spans="1:42" s="42" customFormat="1" ht="16.5" customHeight="1" x14ac:dyDescent="0.25">
      <c r="A55" s="53"/>
      <c r="B55" s="1127"/>
      <c r="C55" s="2175" t="s">
        <v>129</v>
      </c>
      <c r="D55" s="2176"/>
      <c r="E55" s="2175"/>
      <c r="F55" s="2176"/>
      <c r="G55" s="2175"/>
      <c r="H55" s="2176"/>
      <c r="I55" s="1127"/>
      <c r="J55" s="1134" t="str">
        <f t="shared" si="11"/>
        <v/>
      </c>
      <c r="K55" s="1134" t="str">
        <f t="shared" si="12"/>
        <v/>
      </c>
      <c r="L55" s="2177" t="str">
        <f t="shared" si="13"/>
        <v/>
      </c>
      <c r="M55" s="2178"/>
      <c r="N55" s="53" t="str">
        <f t="shared" si="15"/>
        <v/>
      </c>
      <c r="O55" s="53"/>
      <c r="P55" s="53"/>
      <c r="Q55" s="53"/>
      <c r="R55" s="53"/>
      <c r="S55" s="42" t="str">
        <f t="shared" si="16"/>
        <v/>
      </c>
      <c r="T55" s="42" t="str">
        <f t="shared" si="14"/>
        <v/>
      </c>
      <c r="U55" s="42" t="e">
        <f t="shared" ref="U55:U60" si="21">MATCH(C55,$AF$10:$AN$10,0)</f>
        <v>#N/A</v>
      </c>
      <c r="V55" s="42" t="e">
        <f t="shared" si="17"/>
        <v>#N/A</v>
      </c>
      <c r="W55" s="42" t="e">
        <f t="shared" si="17"/>
        <v>#N/A</v>
      </c>
      <c r="X55" s="42" t="e">
        <f t="shared" si="18"/>
        <v>#N/A</v>
      </c>
      <c r="Y55" s="42" t="e">
        <f t="shared" si="19"/>
        <v>#N/A</v>
      </c>
      <c r="Z55" s="42">
        <f t="shared" si="20"/>
        <v>0</v>
      </c>
    </row>
    <row r="56" spans="1:42" s="42" customFormat="1" ht="16.5" customHeight="1" x14ac:dyDescent="0.25">
      <c r="A56" s="53"/>
      <c r="B56" s="1127"/>
      <c r="C56" s="2175" t="s">
        <v>129</v>
      </c>
      <c r="D56" s="2176"/>
      <c r="E56" s="2175"/>
      <c r="F56" s="2176"/>
      <c r="G56" s="2175"/>
      <c r="H56" s="2176"/>
      <c r="I56" s="1127"/>
      <c r="J56" s="1134" t="str">
        <f t="shared" si="11"/>
        <v/>
      </c>
      <c r="K56" s="1134" t="str">
        <f t="shared" si="12"/>
        <v/>
      </c>
      <c r="L56" s="2177" t="str">
        <f t="shared" si="13"/>
        <v/>
      </c>
      <c r="M56" s="2178"/>
      <c r="N56" s="53" t="str">
        <f t="shared" si="15"/>
        <v/>
      </c>
      <c r="O56" s="53"/>
      <c r="P56" s="53"/>
      <c r="Q56" s="53"/>
      <c r="R56" s="53"/>
      <c r="S56" s="42" t="str">
        <f t="shared" si="16"/>
        <v/>
      </c>
      <c r="T56" s="42" t="str">
        <f t="shared" si="14"/>
        <v/>
      </c>
      <c r="U56" s="42" t="e">
        <f t="shared" si="21"/>
        <v>#N/A</v>
      </c>
      <c r="V56" s="42" t="e">
        <f t="shared" si="17"/>
        <v>#N/A</v>
      </c>
      <c r="W56" s="42" t="e">
        <f t="shared" si="17"/>
        <v>#N/A</v>
      </c>
      <c r="X56" s="42" t="e">
        <f t="shared" si="18"/>
        <v>#N/A</v>
      </c>
      <c r="Y56" s="42" t="e">
        <f t="shared" si="19"/>
        <v>#N/A</v>
      </c>
      <c r="Z56" s="42">
        <f t="shared" si="20"/>
        <v>0</v>
      </c>
    </row>
    <row r="57" spans="1:42" s="42" customFormat="1" ht="16.5" customHeight="1" x14ac:dyDescent="0.25">
      <c r="A57" s="53"/>
      <c r="B57" s="1127"/>
      <c r="C57" s="2175" t="s">
        <v>129</v>
      </c>
      <c r="D57" s="2176"/>
      <c r="E57" s="2175"/>
      <c r="F57" s="2176"/>
      <c r="G57" s="2175"/>
      <c r="H57" s="2176"/>
      <c r="I57" s="1127"/>
      <c r="J57" s="1135" t="str">
        <f t="shared" si="11"/>
        <v/>
      </c>
      <c r="K57" s="1135" t="str">
        <f t="shared" si="12"/>
        <v/>
      </c>
      <c r="L57" s="2177" t="str">
        <f t="shared" si="13"/>
        <v/>
      </c>
      <c r="M57" s="2178"/>
      <c r="N57" s="53" t="str">
        <f t="shared" si="15"/>
        <v/>
      </c>
      <c r="O57" s="53"/>
      <c r="P57" s="53"/>
      <c r="Q57" s="53"/>
      <c r="R57" s="53"/>
      <c r="S57" s="42" t="str">
        <f t="shared" si="16"/>
        <v/>
      </c>
      <c r="T57" s="42" t="str">
        <f t="shared" si="14"/>
        <v/>
      </c>
      <c r="U57" s="42" t="e">
        <f t="shared" si="21"/>
        <v>#N/A</v>
      </c>
      <c r="V57" s="42" t="e">
        <f t="shared" si="17"/>
        <v>#N/A</v>
      </c>
      <c r="W57" s="42" t="e">
        <f t="shared" si="17"/>
        <v>#N/A</v>
      </c>
      <c r="X57" s="42" t="e">
        <f t="shared" si="18"/>
        <v>#N/A</v>
      </c>
      <c r="Y57" s="42" t="e">
        <f t="shared" si="19"/>
        <v>#N/A</v>
      </c>
      <c r="Z57" s="42">
        <f t="shared" si="20"/>
        <v>0</v>
      </c>
    </row>
    <row r="58" spans="1:42" s="42" customFormat="1" ht="16.5" customHeight="1" x14ac:dyDescent="0.25">
      <c r="A58" s="53"/>
      <c r="B58" s="1127"/>
      <c r="C58" s="2175" t="s">
        <v>129</v>
      </c>
      <c r="D58" s="2176"/>
      <c r="E58" s="2175"/>
      <c r="F58" s="2176"/>
      <c r="G58" s="2175"/>
      <c r="H58" s="2176"/>
      <c r="I58" s="1127"/>
      <c r="J58" s="1135" t="str">
        <f t="shared" si="11"/>
        <v/>
      </c>
      <c r="K58" s="1135" t="str">
        <f t="shared" si="12"/>
        <v/>
      </c>
      <c r="L58" s="2177" t="str">
        <f t="shared" si="13"/>
        <v/>
      </c>
      <c r="M58" s="2178"/>
      <c r="N58" s="53" t="str">
        <f t="shared" si="15"/>
        <v/>
      </c>
      <c r="O58" s="53"/>
      <c r="P58" s="53"/>
      <c r="Q58" s="53"/>
      <c r="R58" s="53"/>
      <c r="S58" s="42" t="str">
        <f t="shared" si="16"/>
        <v/>
      </c>
      <c r="T58" s="42" t="str">
        <f t="shared" si="14"/>
        <v/>
      </c>
      <c r="U58" s="42" t="e">
        <f t="shared" si="21"/>
        <v>#N/A</v>
      </c>
      <c r="V58" s="42" t="e">
        <f t="shared" si="17"/>
        <v>#N/A</v>
      </c>
      <c r="W58" s="42" t="e">
        <f t="shared" si="17"/>
        <v>#N/A</v>
      </c>
      <c r="X58" s="42" t="e">
        <f t="shared" si="18"/>
        <v>#N/A</v>
      </c>
      <c r="Y58" s="42" t="e">
        <f t="shared" si="19"/>
        <v>#N/A</v>
      </c>
      <c r="Z58" s="42">
        <f t="shared" si="20"/>
        <v>0</v>
      </c>
    </row>
    <row r="59" spans="1:42" s="42" customFormat="1" ht="16.5" customHeight="1" x14ac:dyDescent="0.25">
      <c r="A59" s="53"/>
      <c r="B59" s="1127"/>
      <c r="C59" s="2175" t="s">
        <v>129</v>
      </c>
      <c r="D59" s="2176"/>
      <c r="E59" s="2175"/>
      <c r="F59" s="2176"/>
      <c r="G59" s="2175"/>
      <c r="H59" s="2176"/>
      <c r="I59" s="1127"/>
      <c r="J59" s="1135" t="str">
        <f t="shared" si="11"/>
        <v/>
      </c>
      <c r="K59" s="1135" t="str">
        <f t="shared" si="12"/>
        <v/>
      </c>
      <c r="L59" s="2177" t="str">
        <f t="shared" si="13"/>
        <v/>
      </c>
      <c r="M59" s="2178"/>
      <c r="N59" s="53" t="str">
        <f t="shared" si="15"/>
        <v/>
      </c>
      <c r="O59" s="53"/>
      <c r="P59" s="53"/>
      <c r="Q59" s="53"/>
      <c r="R59" s="53"/>
      <c r="S59" s="42" t="str">
        <f t="shared" si="16"/>
        <v/>
      </c>
      <c r="T59" s="42" t="str">
        <f t="shared" si="14"/>
        <v/>
      </c>
      <c r="U59" s="42" t="e">
        <f t="shared" si="21"/>
        <v>#N/A</v>
      </c>
      <c r="V59" s="42" t="e">
        <f t="shared" si="17"/>
        <v>#N/A</v>
      </c>
      <c r="W59" s="42" t="e">
        <f t="shared" si="17"/>
        <v>#N/A</v>
      </c>
      <c r="X59" s="42" t="e">
        <f t="shared" si="18"/>
        <v>#N/A</v>
      </c>
      <c r="Y59" s="42" t="e">
        <f t="shared" si="19"/>
        <v>#N/A</v>
      </c>
      <c r="Z59" s="42">
        <f t="shared" si="20"/>
        <v>0</v>
      </c>
    </row>
    <row r="60" spans="1:42" s="42" customFormat="1" ht="16.5" customHeight="1" x14ac:dyDescent="0.25">
      <c r="A60" s="53"/>
      <c r="B60" s="1127"/>
      <c r="C60" s="2175" t="s">
        <v>129</v>
      </c>
      <c r="D60" s="2176"/>
      <c r="E60" s="2175"/>
      <c r="F60" s="2176"/>
      <c r="G60" s="2175"/>
      <c r="H60" s="2176"/>
      <c r="I60" s="1127"/>
      <c r="J60" s="1135" t="str">
        <f t="shared" si="11"/>
        <v/>
      </c>
      <c r="K60" s="1135" t="str">
        <f t="shared" si="12"/>
        <v/>
      </c>
      <c r="L60" s="2177" t="str">
        <f t="shared" si="13"/>
        <v/>
      </c>
      <c r="M60" s="2178"/>
      <c r="N60" s="53" t="str">
        <f t="shared" si="15"/>
        <v/>
      </c>
      <c r="O60" s="53"/>
      <c r="P60" s="53"/>
      <c r="Q60" s="53"/>
      <c r="R60" s="53"/>
      <c r="S60" s="42" t="str">
        <f t="shared" si="16"/>
        <v/>
      </c>
      <c r="T60" s="42" t="str">
        <f t="shared" si="14"/>
        <v/>
      </c>
      <c r="U60" s="42" t="e">
        <f t="shared" si="21"/>
        <v>#N/A</v>
      </c>
      <c r="V60" s="42" t="e">
        <f t="shared" si="17"/>
        <v>#N/A</v>
      </c>
      <c r="W60" s="42" t="e">
        <f t="shared" si="17"/>
        <v>#N/A</v>
      </c>
      <c r="X60" s="42" t="e">
        <f t="shared" si="18"/>
        <v>#N/A</v>
      </c>
      <c r="Y60" s="42" t="e">
        <f t="shared" si="19"/>
        <v>#N/A</v>
      </c>
      <c r="Z60" s="42">
        <f t="shared" si="20"/>
        <v>0</v>
      </c>
    </row>
    <row r="61" spans="1:42" s="15" customFormat="1" ht="21" customHeight="1" x14ac:dyDescent="0.25">
      <c r="A61" s="940"/>
      <c r="B61" s="940"/>
      <c r="C61" s="940"/>
      <c r="D61" s="940"/>
      <c r="E61" s="940"/>
      <c r="F61" s="940"/>
      <c r="G61" s="940"/>
      <c r="H61" s="940"/>
      <c r="I61" s="940"/>
      <c r="J61" s="940"/>
      <c r="K61" s="940"/>
      <c r="L61" s="940"/>
      <c r="M61" s="940"/>
      <c r="N61" s="940"/>
      <c r="O61" s="940"/>
      <c r="P61" s="940"/>
      <c r="Q61" s="940"/>
      <c r="R61" s="940"/>
      <c r="S61" s="1136"/>
      <c r="T61" s="42"/>
      <c r="U61" s="42"/>
      <c r="V61" s="42"/>
      <c r="W61" s="42"/>
      <c r="X61" s="42"/>
      <c r="Y61" s="42"/>
      <c r="Z61" s="42"/>
      <c r="AA61" s="1136"/>
      <c r="AB61" s="1136"/>
      <c r="AC61" s="1136"/>
      <c r="AD61" s="42"/>
      <c r="AE61" s="42"/>
      <c r="AF61" s="42"/>
      <c r="AG61" s="42"/>
      <c r="AH61" s="42"/>
      <c r="AI61" s="42"/>
      <c r="AJ61" s="42"/>
      <c r="AK61" s="42"/>
      <c r="AL61" s="42"/>
      <c r="AM61" s="42"/>
      <c r="AN61" s="42"/>
      <c r="AO61" s="42"/>
      <c r="AP61" s="42"/>
    </row>
    <row r="62" spans="1:42" s="15" customFormat="1" ht="21" customHeight="1" x14ac:dyDescent="0.25">
      <c r="A62" s="2157" t="s">
        <v>36</v>
      </c>
      <c r="B62" s="2157"/>
      <c r="C62" s="2157"/>
      <c r="D62" s="2157"/>
      <c r="E62" s="2157"/>
      <c r="F62" s="2157"/>
      <c r="G62" s="1"/>
      <c r="H62" s="1"/>
      <c r="I62" s="1"/>
      <c r="J62" s="1"/>
      <c r="K62" s="1"/>
      <c r="L62" s="1"/>
      <c r="M62" s="1"/>
      <c r="N62" s="1"/>
      <c r="O62" s="1"/>
      <c r="P62" s="1"/>
      <c r="Q62" s="1"/>
      <c r="R62" s="1"/>
      <c r="S62" s="1136"/>
      <c r="T62" s="42"/>
      <c r="U62" s="42"/>
      <c r="V62" s="42"/>
      <c r="W62" s="42"/>
      <c r="X62" s="42"/>
      <c r="Y62" s="42"/>
      <c r="Z62" s="42"/>
      <c r="AA62" s="42"/>
      <c r="AB62" s="42"/>
      <c r="AC62" s="42"/>
      <c r="AD62" s="42"/>
      <c r="AE62" s="42"/>
      <c r="AF62" s="42"/>
      <c r="AG62" s="42"/>
      <c r="AH62" s="42"/>
      <c r="AI62" s="42"/>
      <c r="AJ62" s="42"/>
      <c r="AK62" s="42"/>
      <c r="AL62" s="42"/>
      <c r="AM62" s="42"/>
      <c r="AN62" s="42"/>
      <c r="AO62" s="42"/>
      <c r="AP62" s="42"/>
    </row>
    <row r="63" spans="1:42" s="15" customFormat="1" ht="15" customHeight="1" x14ac:dyDescent="0.25">
      <c r="A63" s="346"/>
      <c r="B63" s="346"/>
      <c r="C63" s="346"/>
      <c r="D63" s="346"/>
      <c r="E63" s="346"/>
      <c r="F63" s="346"/>
      <c r="G63" s="1"/>
      <c r="H63" s="1"/>
      <c r="I63" s="1"/>
      <c r="J63" s="1"/>
      <c r="K63" s="1"/>
      <c r="L63" s="1"/>
      <c r="M63" s="1"/>
      <c r="N63" s="1"/>
      <c r="O63" s="1"/>
      <c r="P63" s="1"/>
      <c r="Q63" s="1"/>
      <c r="R63" s="1"/>
      <c r="S63" s="1136"/>
      <c r="T63" s="42"/>
      <c r="U63" s="42"/>
      <c r="V63" s="42"/>
      <c r="W63" s="42"/>
      <c r="X63" s="42"/>
      <c r="Y63" s="42"/>
      <c r="Z63" s="42"/>
      <c r="AA63" s="42"/>
      <c r="AB63" s="42"/>
      <c r="AC63" s="42"/>
      <c r="AD63" s="42"/>
      <c r="AE63" s="42"/>
      <c r="AF63" s="42"/>
      <c r="AG63" s="42"/>
      <c r="AH63" s="42"/>
      <c r="AI63" s="42"/>
      <c r="AJ63" s="42"/>
      <c r="AK63" s="42"/>
      <c r="AL63" s="42"/>
      <c r="AM63" s="42"/>
      <c r="AN63" s="42"/>
      <c r="AO63" s="42"/>
      <c r="AP63" s="42"/>
    </row>
    <row r="64" spans="1:42" s="15" customFormat="1" ht="15" customHeight="1" x14ac:dyDescent="0.25">
      <c r="A64" s="346"/>
      <c r="B64" s="346" t="s">
        <v>717</v>
      </c>
      <c r="C64" s="346"/>
      <c r="D64" s="346"/>
      <c r="E64" s="346"/>
      <c r="F64" s="346"/>
      <c r="G64" s="1"/>
      <c r="H64" s="1"/>
      <c r="I64" s="1"/>
      <c r="J64" s="1"/>
      <c r="K64" s="1"/>
      <c r="L64" s="1"/>
      <c r="M64" s="1"/>
      <c r="N64" s="1"/>
      <c r="O64" s="1"/>
      <c r="P64" s="1"/>
      <c r="Q64" s="1"/>
      <c r="R64" s="1"/>
      <c r="S64" s="1136"/>
      <c r="T64" s="42"/>
      <c r="U64" s="42"/>
      <c r="V64" s="42"/>
      <c r="W64" s="42"/>
      <c r="X64" s="42"/>
      <c r="Y64" s="42"/>
      <c r="Z64" s="42"/>
      <c r="AA64" s="42"/>
      <c r="AB64" s="42"/>
      <c r="AC64" s="42"/>
      <c r="AD64" s="42"/>
      <c r="AE64" s="42"/>
      <c r="AF64" s="42"/>
      <c r="AG64" s="42"/>
      <c r="AH64" s="42"/>
      <c r="AI64" s="42"/>
      <c r="AJ64" s="42"/>
      <c r="AK64" s="42"/>
      <c r="AL64" s="42"/>
      <c r="AM64" s="42"/>
      <c r="AN64" s="42"/>
      <c r="AO64" s="42"/>
      <c r="AP64" s="42"/>
    </row>
    <row r="65" spans="1:42" s="15" customFormat="1" ht="15" customHeight="1" x14ac:dyDescent="0.25">
      <c r="A65" s="346"/>
      <c r="B65" s="2158" t="s">
        <v>501</v>
      </c>
      <c r="C65" s="2158" t="s">
        <v>503</v>
      </c>
      <c r="D65" s="2158"/>
      <c r="E65" s="2158"/>
      <c r="F65" s="2158" t="s">
        <v>709</v>
      </c>
      <c r="G65" s="2158"/>
      <c r="H65" s="2158"/>
      <c r="I65" s="2158" t="s">
        <v>505</v>
      </c>
      <c r="J65" s="2158"/>
      <c r="K65" s="2158"/>
      <c r="L65" s="1"/>
      <c r="M65" s="1"/>
      <c r="N65" s="1"/>
      <c r="O65" s="1"/>
      <c r="P65" s="1"/>
      <c r="Q65" s="1"/>
      <c r="R65" s="1"/>
      <c r="S65" s="1136"/>
      <c r="T65" s="42"/>
      <c r="U65" s="42"/>
      <c r="V65" s="42"/>
      <c r="W65" s="42"/>
      <c r="X65" s="42"/>
      <c r="Y65" s="42"/>
      <c r="Z65" s="42"/>
      <c r="AA65" s="42"/>
      <c r="AB65" s="42"/>
      <c r="AC65" s="42"/>
      <c r="AD65" s="42"/>
      <c r="AE65" s="42"/>
      <c r="AF65" s="42"/>
      <c r="AG65" s="42"/>
      <c r="AH65" s="42"/>
      <c r="AI65" s="42"/>
      <c r="AJ65" s="42"/>
      <c r="AK65" s="42"/>
      <c r="AL65" s="42"/>
      <c r="AM65" s="42"/>
      <c r="AN65" s="42"/>
      <c r="AO65" s="42"/>
      <c r="AP65" s="42"/>
    </row>
    <row r="66" spans="1:42" s="15" customFormat="1" ht="15" customHeight="1" x14ac:dyDescent="0.25">
      <c r="A66" s="346"/>
      <c r="B66" s="2158"/>
      <c r="C66" s="376" t="s">
        <v>710</v>
      </c>
      <c r="D66" s="376" t="s">
        <v>711</v>
      </c>
      <c r="E66" s="376" t="s">
        <v>712</v>
      </c>
      <c r="F66" s="376" t="s">
        <v>710</v>
      </c>
      <c r="G66" s="376" t="s">
        <v>711</v>
      </c>
      <c r="H66" s="376" t="s">
        <v>712</v>
      </c>
      <c r="I66" s="376" t="s">
        <v>710</v>
      </c>
      <c r="J66" s="376" t="s">
        <v>711</v>
      </c>
      <c r="K66" s="376" t="s">
        <v>712</v>
      </c>
      <c r="L66" s="1"/>
      <c r="M66" s="1"/>
      <c r="N66" s="1"/>
      <c r="O66" s="1"/>
      <c r="P66" s="1"/>
      <c r="Q66" s="1"/>
      <c r="R66" s="1"/>
      <c r="S66" s="1136"/>
      <c r="T66" s="42"/>
      <c r="U66" s="42"/>
      <c r="V66" s="42"/>
      <c r="W66" s="42"/>
      <c r="X66" s="42"/>
      <c r="Y66" s="42"/>
      <c r="Z66" s="42"/>
      <c r="AA66" s="42"/>
      <c r="AB66" s="42"/>
      <c r="AC66" s="42"/>
      <c r="AD66" s="42"/>
      <c r="AE66" s="42"/>
      <c r="AF66" s="42"/>
      <c r="AG66" s="42"/>
      <c r="AH66" s="42"/>
      <c r="AI66" s="42"/>
      <c r="AJ66" s="42"/>
      <c r="AK66" s="42"/>
      <c r="AL66" s="42"/>
      <c r="AM66" s="42"/>
      <c r="AN66" s="42"/>
      <c r="AO66" s="42"/>
      <c r="AP66" s="42"/>
    </row>
    <row r="67" spans="1:42" s="15" customFormat="1" ht="15" customHeight="1" x14ac:dyDescent="0.25">
      <c r="A67" s="346"/>
      <c r="B67" s="377" t="s">
        <v>713</v>
      </c>
      <c r="C67" s="377">
        <v>0.2</v>
      </c>
      <c r="D67" s="377">
        <v>0.5</v>
      </c>
      <c r="E67" s="377">
        <v>0.9</v>
      </c>
      <c r="F67" s="377">
        <v>0.5</v>
      </c>
      <c r="G67" s="377">
        <v>1</v>
      </c>
      <c r="H67" s="377">
        <v>1.3</v>
      </c>
      <c r="I67" s="377">
        <v>0.5</v>
      </c>
      <c r="J67" s="377">
        <v>1</v>
      </c>
      <c r="K67" s="377">
        <v>1.4</v>
      </c>
      <c r="L67" s="1"/>
      <c r="M67" s="1"/>
      <c r="N67" s="1"/>
      <c r="O67" s="1"/>
      <c r="P67" s="1"/>
      <c r="Q67" s="1"/>
      <c r="R67" s="1"/>
      <c r="S67" s="1136"/>
      <c r="T67" s="42"/>
      <c r="U67" s="42"/>
      <c r="V67" s="42"/>
      <c r="W67" s="42"/>
      <c r="X67" s="42"/>
      <c r="Y67" s="42"/>
      <c r="Z67" s="42"/>
      <c r="AA67" s="42"/>
      <c r="AB67" s="42"/>
      <c r="AC67" s="42"/>
      <c r="AD67" s="42"/>
      <c r="AE67" s="42"/>
      <c r="AF67" s="42"/>
      <c r="AG67" s="42"/>
      <c r="AH67" s="42"/>
      <c r="AI67" s="42"/>
      <c r="AJ67" s="42"/>
      <c r="AK67" s="42"/>
      <c r="AL67" s="42"/>
      <c r="AM67" s="42"/>
      <c r="AN67" s="42"/>
      <c r="AO67" s="42"/>
      <c r="AP67" s="42"/>
    </row>
    <row r="68" spans="1:42" s="15" customFormat="1" ht="15" customHeight="1" x14ac:dyDescent="0.25">
      <c r="A68" s="346"/>
      <c r="B68" s="377" t="s">
        <v>714</v>
      </c>
      <c r="C68" s="377">
        <v>0.2</v>
      </c>
      <c r="D68" s="377">
        <v>0.5</v>
      </c>
      <c r="E68" s="377">
        <v>0.7</v>
      </c>
      <c r="F68" s="377">
        <v>0.5</v>
      </c>
      <c r="G68" s="377">
        <v>1</v>
      </c>
      <c r="H68" s="377">
        <v>1.1000000000000001</v>
      </c>
      <c r="I68" s="377">
        <v>0.5</v>
      </c>
      <c r="J68" s="377">
        <v>1</v>
      </c>
      <c r="K68" s="377">
        <v>1.3</v>
      </c>
      <c r="L68" s="1"/>
      <c r="M68" s="1"/>
      <c r="N68" s="1"/>
      <c r="O68" s="1"/>
      <c r="P68" s="1"/>
      <c r="Q68" s="1"/>
      <c r="R68" s="1"/>
      <c r="S68" s="1136"/>
      <c r="T68" s="42"/>
      <c r="U68" s="42"/>
      <c r="V68" s="42"/>
      <c r="W68" s="42"/>
      <c r="X68" s="42"/>
      <c r="Y68" s="42"/>
      <c r="Z68" s="42"/>
      <c r="AA68" s="42"/>
      <c r="AB68" s="42"/>
      <c r="AC68" s="42"/>
      <c r="AD68" s="42"/>
      <c r="AE68" s="42"/>
      <c r="AF68" s="42"/>
      <c r="AG68" s="42"/>
      <c r="AH68" s="42"/>
      <c r="AI68" s="42"/>
      <c r="AJ68" s="42"/>
      <c r="AK68" s="42"/>
      <c r="AL68" s="42"/>
      <c r="AM68" s="42"/>
      <c r="AN68" s="42"/>
      <c r="AO68" s="42"/>
      <c r="AP68" s="42"/>
    </row>
    <row r="69" spans="1:42" s="15" customFormat="1" ht="15" customHeight="1" x14ac:dyDescent="0.25">
      <c r="A69" s="346"/>
      <c r="B69" s="377" t="s">
        <v>715</v>
      </c>
      <c r="C69" s="377">
        <v>0.2</v>
      </c>
      <c r="D69" s="377">
        <v>0.5</v>
      </c>
      <c r="E69" s="377">
        <v>0.7</v>
      </c>
      <c r="F69" s="377">
        <v>0.5</v>
      </c>
      <c r="G69" s="377">
        <v>1</v>
      </c>
      <c r="H69" s="377">
        <v>1.1000000000000001</v>
      </c>
      <c r="I69" s="377">
        <v>0.5</v>
      </c>
      <c r="J69" s="377">
        <v>1</v>
      </c>
      <c r="K69" s="377">
        <v>1.2</v>
      </c>
      <c r="L69" s="1"/>
      <c r="M69" s="1"/>
      <c r="N69" s="1"/>
      <c r="O69" s="1"/>
      <c r="P69" s="1"/>
      <c r="Q69" s="1"/>
      <c r="R69" s="1"/>
      <c r="S69" s="1136"/>
      <c r="T69" s="42"/>
      <c r="U69" s="42"/>
      <c r="V69" s="42"/>
      <c r="W69" s="42"/>
      <c r="X69" s="42"/>
      <c r="Y69" s="42"/>
      <c r="Z69" s="42"/>
      <c r="AA69" s="42"/>
      <c r="AB69" s="42"/>
      <c r="AC69" s="42"/>
      <c r="AD69" s="42"/>
      <c r="AE69" s="42"/>
      <c r="AF69" s="42"/>
      <c r="AG69" s="42"/>
      <c r="AH69" s="42"/>
      <c r="AI69" s="42"/>
      <c r="AJ69" s="42"/>
      <c r="AK69" s="42"/>
      <c r="AL69" s="42"/>
      <c r="AM69" s="42"/>
      <c r="AN69" s="42"/>
      <c r="AO69" s="42"/>
      <c r="AP69" s="42"/>
    </row>
    <row r="70" spans="1:42" s="15" customFormat="1" ht="15" customHeight="1" x14ac:dyDescent="0.2">
      <c r="A70" s="346"/>
      <c r="B70" s="377" t="s">
        <v>716</v>
      </c>
      <c r="C70" s="377">
        <v>0.55000000000000004</v>
      </c>
      <c r="D70" s="377">
        <v>0.7</v>
      </c>
      <c r="E70" s="377">
        <v>0.8</v>
      </c>
      <c r="F70" s="377">
        <v>0.6</v>
      </c>
      <c r="G70" s="377">
        <v>1</v>
      </c>
      <c r="H70" s="377">
        <v>1</v>
      </c>
      <c r="I70" s="377">
        <v>0.8</v>
      </c>
      <c r="J70" s="377">
        <v>1</v>
      </c>
      <c r="K70" s="377">
        <v>1.2</v>
      </c>
      <c r="L70" s="1"/>
      <c r="M70" s="1"/>
      <c r="N70" s="1"/>
      <c r="O70" s="1"/>
      <c r="P70" s="1"/>
      <c r="Q70" s="1"/>
      <c r="R70" s="1"/>
      <c r="S70" s="1136"/>
      <c r="T70" s="1136"/>
      <c r="U70" s="1136"/>
      <c r="V70" s="1136"/>
      <c r="W70" s="1136"/>
      <c r="X70" s="1136"/>
      <c r="Y70" s="1136"/>
      <c r="Z70" s="1136"/>
      <c r="AA70" s="1136"/>
      <c r="AB70" s="1136"/>
      <c r="AC70" s="1136"/>
      <c r="AD70" s="1136"/>
      <c r="AE70" s="1136"/>
      <c r="AF70" s="1125"/>
      <c r="AG70" s="1125"/>
      <c r="AH70" s="1125"/>
      <c r="AI70" s="1125"/>
      <c r="AJ70" s="1125"/>
      <c r="AK70" s="1125"/>
      <c r="AL70" s="1125"/>
      <c r="AM70" s="1125"/>
      <c r="AN70" s="1125"/>
      <c r="AO70" s="1125"/>
      <c r="AP70" s="1125"/>
    </row>
    <row r="71" spans="1:42" s="15" customFormat="1" ht="15" customHeight="1" x14ac:dyDescent="0.2">
      <c r="A71" s="346"/>
      <c r="B71" s="346" t="s">
        <v>719</v>
      </c>
      <c r="C71" s="346"/>
      <c r="D71" s="346"/>
      <c r="E71" s="346"/>
      <c r="F71" s="346"/>
      <c r="G71" s="1"/>
      <c r="H71" s="1"/>
      <c r="I71" s="1"/>
      <c r="J71" s="1"/>
      <c r="K71" s="1"/>
      <c r="L71" s="1"/>
      <c r="M71" s="1"/>
      <c r="N71" s="1"/>
      <c r="O71" s="1"/>
      <c r="P71" s="1"/>
      <c r="Q71" s="1"/>
      <c r="R71" s="1"/>
      <c r="S71" s="1136"/>
      <c r="T71" s="1136"/>
      <c r="U71" s="1136"/>
      <c r="V71" s="1136"/>
      <c r="W71" s="1136"/>
      <c r="X71" s="1136"/>
      <c r="Y71" s="1136"/>
      <c r="Z71" s="1136"/>
      <c r="AA71" s="1136"/>
      <c r="AB71" s="1136"/>
      <c r="AC71" s="1136"/>
      <c r="AD71" s="1136"/>
      <c r="AE71" s="1136"/>
      <c r="AF71" s="1125"/>
      <c r="AG71" s="1125"/>
      <c r="AH71" s="1125"/>
      <c r="AI71" s="1125"/>
      <c r="AJ71" s="1125"/>
      <c r="AK71" s="1125"/>
      <c r="AL71" s="1125"/>
      <c r="AM71" s="1125"/>
      <c r="AN71" s="1125"/>
      <c r="AO71" s="1125"/>
      <c r="AP71" s="1125"/>
    </row>
    <row r="72" spans="1:42" s="15" customFormat="1" ht="15" customHeight="1" x14ac:dyDescent="0.25">
      <c r="A72" s="346"/>
      <c r="B72" s="346" t="s">
        <v>720</v>
      </c>
      <c r="C72" s="346"/>
      <c r="D72" s="346"/>
      <c r="E72" s="346"/>
      <c r="F72" s="346"/>
      <c r="G72" s="1"/>
      <c r="H72" s="1"/>
      <c r="I72" s="1"/>
      <c r="J72" s="1"/>
      <c r="K72" s="1"/>
      <c r="L72" s="1"/>
      <c r="M72" s="1"/>
      <c r="N72" s="1"/>
      <c r="O72" s="1"/>
      <c r="P72" s="1"/>
      <c r="Q72" s="1"/>
      <c r="R72" s="1"/>
      <c r="S72" s="1136"/>
      <c r="T72" s="42"/>
      <c r="U72" s="42"/>
      <c r="V72" s="42"/>
      <c r="W72" s="42"/>
      <c r="X72" s="42"/>
      <c r="Y72" s="42"/>
      <c r="Z72" s="42"/>
      <c r="AA72" s="1136"/>
      <c r="AB72" s="1136"/>
      <c r="AC72" s="1136"/>
      <c r="AD72" s="42"/>
      <c r="AE72" s="42"/>
      <c r="AF72" s="42"/>
      <c r="AG72" s="42"/>
      <c r="AH72" s="42"/>
      <c r="AI72" s="42"/>
      <c r="AJ72" s="42"/>
      <c r="AK72" s="42"/>
      <c r="AL72" s="42"/>
      <c r="AM72" s="42"/>
      <c r="AN72" s="42"/>
      <c r="AO72" s="42"/>
      <c r="AP72" s="42"/>
    </row>
    <row r="73" spans="1:42" s="15" customFormat="1" ht="15" customHeight="1" x14ac:dyDescent="0.25">
      <c r="A73" s="346"/>
      <c r="B73" s="346" t="s">
        <v>718</v>
      </c>
      <c r="C73" s="346"/>
      <c r="D73" s="346"/>
      <c r="E73" s="346"/>
      <c r="F73" s="346"/>
      <c r="G73" s="1"/>
      <c r="H73" s="1"/>
      <c r="I73" s="1"/>
      <c r="J73" s="1"/>
      <c r="K73" s="1"/>
      <c r="L73" s="1"/>
      <c r="M73" s="1"/>
      <c r="N73" s="1"/>
      <c r="O73" s="1"/>
      <c r="P73" s="1"/>
      <c r="Q73" s="1"/>
      <c r="R73" s="1"/>
      <c r="S73" s="1136"/>
      <c r="T73" s="42"/>
      <c r="U73" s="42"/>
      <c r="V73" s="42"/>
      <c r="W73" s="42"/>
      <c r="X73" s="42"/>
      <c r="Y73" s="42"/>
      <c r="Z73" s="42"/>
      <c r="AA73" s="42"/>
      <c r="AB73" s="42"/>
      <c r="AC73" s="42"/>
      <c r="AD73" s="42"/>
      <c r="AE73" s="42"/>
      <c r="AF73" s="42"/>
      <c r="AG73" s="42"/>
      <c r="AH73" s="42"/>
      <c r="AI73" s="42"/>
      <c r="AJ73" s="42"/>
      <c r="AK73" s="42"/>
      <c r="AL73" s="42"/>
      <c r="AM73" s="42"/>
      <c r="AN73" s="42"/>
      <c r="AO73" s="42"/>
      <c r="AP73" s="42"/>
    </row>
    <row r="74" spans="1:42" s="15" customFormat="1" ht="15" customHeight="1" x14ac:dyDescent="0.25">
      <c r="A74" s="346"/>
      <c r="B74" s="346"/>
      <c r="C74" s="346"/>
      <c r="D74" s="346"/>
      <c r="E74" s="346"/>
      <c r="F74" s="346"/>
      <c r="G74" s="1"/>
      <c r="H74" s="1"/>
      <c r="I74" s="1"/>
      <c r="J74" s="1"/>
      <c r="K74" s="1"/>
      <c r="L74" s="1"/>
      <c r="M74" s="1"/>
      <c r="N74" s="1"/>
      <c r="O74" s="1"/>
      <c r="P74" s="1"/>
      <c r="Q74" s="1"/>
      <c r="R74" s="1"/>
      <c r="S74" s="1136"/>
      <c r="T74" s="42"/>
      <c r="U74" s="42"/>
      <c r="V74" s="42"/>
      <c r="W74" s="42"/>
      <c r="X74" s="42"/>
      <c r="Y74" s="42"/>
      <c r="Z74" s="42"/>
      <c r="AA74" s="42"/>
      <c r="AB74" s="42"/>
      <c r="AC74" s="42"/>
      <c r="AD74" s="42"/>
      <c r="AE74" s="42"/>
      <c r="AF74" s="42"/>
      <c r="AG74" s="42"/>
      <c r="AH74" s="42"/>
      <c r="AI74" s="42"/>
      <c r="AJ74" s="42"/>
      <c r="AK74" s="42"/>
      <c r="AL74" s="42"/>
      <c r="AM74" s="42"/>
      <c r="AN74" s="42"/>
      <c r="AO74" s="42"/>
      <c r="AP74" s="42"/>
    </row>
    <row r="75" spans="1:42" s="15" customFormat="1" ht="15" customHeight="1" x14ac:dyDescent="0.25">
      <c r="A75" s="346"/>
      <c r="B75" s="346" t="s">
        <v>1079</v>
      </c>
      <c r="C75" s="346"/>
      <c r="D75" s="346"/>
      <c r="E75" s="346"/>
      <c r="F75" s="346"/>
      <c r="G75" s="1"/>
      <c r="H75" s="1"/>
      <c r="I75" s="1"/>
      <c r="J75" s="1"/>
      <c r="K75" s="1"/>
      <c r="L75" s="1"/>
      <c r="M75" s="1"/>
      <c r="N75" s="1"/>
      <c r="O75" s="1"/>
      <c r="P75" s="1"/>
      <c r="Q75" s="1"/>
      <c r="R75" s="1"/>
      <c r="S75" s="1136"/>
      <c r="T75" s="42"/>
      <c r="U75" s="42"/>
      <c r="V75" s="42"/>
      <c r="W75" s="42"/>
      <c r="X75" s="42"/>
      <c r="Y75" s="42"/>
      <c r="Z75" s="42"/>
      <c r="AA75" s="42"/>
      <c r="AB75" s="42"/>
      <c r="AC75" s="42"/>
      <c r="AD75" s="42"/>
      <c r="AE75" s="42"/>
      <c r="AF75" s="42"/>
      <c r="AG75" s="42"/>
      <c r="AH75" s="42"/>
      <c r="AI75" s="42"/>
      <c r="AJ75" s="42"/>
      <c r="AK75" s="42"/>
      <c r="AL75" s="42"/>
      <c r="AM75" s="42"/>
      <c r="AN75" s="42"/>
      <c r="AO75" s="42"/>
      <c r="AP75" s="42"/>
    </row>
    <row r="76" spans="1:42" s="15" customFormat="1" ht="15" customHeight="1" x14ac:dyDescent="0.25">
      <c r="A76" s="940"/>
      <c r="B76" s="940"/>
      <c r="C76" s="940"/>
      <c r="D76" s="940"/>
      <c r="E76" s="940"/>
      <c r="F76" s="940"/>
      <c r="G76" s="940"/>
      <c r="H76" s="940"/>
      <c r="I76" s="940"/>
      <c r="J76" s="940"/>
      <c r="K76" s="940"/>
      <c r="L76" s="940"/>
      <c r="M76" s="940"/>
      <c r="N76" s="940"/>
      <c r="O76" s="940"/>
      <c r="P76" s="940"/>
      <c r="Q76" s="940"/>
      <c r="R76" s="940"/>
      <c r="S76" s="1136"/>
      <c r="T76" s="42"/>
      <c r="U76" s="42"/>
      <c r="V76" s="42"/>
      <c r="W76" s="42"/>
      <c r="X76" s="42"/>
      <c r="Y76" s="42"/>
      <c r="Z76" s="42"/>
      <c r="AA76" s="42"/>
      <c r="AB76" s="42"/>
      <c r="AC76" s="42"/>
      <c r="AD76" s="42"/>
      <c r="AE76" s="42"/>
      <c r="AF76" s="42"/>
      <c r="AG76" s="42"/>
      <c r="AH76" s="42"/>
      <c r="AI76" s="42"/>
      <c r="AJ76" s="42"/>
      <c r="AK76" s="42"/>
      <c r="AL76" s="42"/>
      <c r="AM76" s="42"/>
      <c r="AN76" s="42"/>
      <c r="AO76" s="42"/>
      <c r="AP76" s="42"/>
    </row>
    <row r="77" spans="1:42" s="15" customFormat="1" ht="21.75" customHeight="1" x14ac:dyDescent="0.25">
      <c r="A77" s="2150" t="s">
        <v>742</v>
      </c>
      <c r="B77" s="2150"/>
      <c r="C77" s="2150"/>
      <c r="D77" s="2150"/>
      <c r="E77" s="2150"/>
      <c r="F77" s="2150"/>
      <c r="G77" s="1"/>
      <c r="H77" s="1"/>
      <c r="I77" s="1"/>
      <c r="J77" s="1"/>
      <c r="K77" s="1"/>
      <c r="L77" s="1"/>
      <c r="M77" s="1"/>
      <c r="N77" s="1"/>
      <c r="O77" s="1"/>
      <c r="P77" s="1"/>
      <c r="Q77" s="1"/>
      <c r="R77" s="1"/>
      <c r="S77" s="1136"/>
      <c r="T77" s="42"/>
      <c r="U77" s="42"/>
      <c r="V77" s="42"/>
      <c r="W77" s="42"/>
      <c r="X77" s="42"/>
      <c r="Y77" s="42"/>
      <c r="Z77" s="42"/>
      <c r="AA77" s="42"/>
      <c r="AB77" s="42"/>
      <c r="AC77" s="42"/>
      <c r="AD77" s="42"/>
      <c r="AE77" s="42"/>
      <c r="AF77" s="42"/>
      <c r="AG77" s="42"/>
      <c r="AH77" s="42"/>
      <c r="AI77" s="42"/>
      <c r="AJ77" s="42"/>
      <c r="AK77" s="42"/>
      <c r="AL77" s="42"/>
      <c r="AM77" s="42"/>
      <c r="AN77" s="42"/>
      <c r="AO77" s="42"/>
      <c r="AP77" s="42"/>
    </row>
    <row r="78" spans="1:42" s="15" customFormat="1" ht="15" customHeight="1" x14ac:dyDescent="0.25">
      <c r="A78" s="346"/>
      <c r="B78" s="346"/>
      <c r="C78" s="346"/>
      <c r="D78" s="346"/>
      <c r="E78" s="346"/>
      <c r="F78" s="346"/>
      <c r="G78" s="1"/>
      <c r="H78" s="1"/>
      <c r="I78" s="1"/>
      <c r="J78" s="1"/>
      <c r="K78" s="1"/>
      <c r="L78" s="1"/>
      <c r="M78" s="1"/>
      <c r="N78" s="1"/>
      <c r="O78" s="1"/>
      <c r="P78" s="1"/>
      <c r="Q78" s="1"/>
      <c r="R78" s="1"/>
      <c r="T78" s="42"/>
      <c r="U78" s="42"/>
      <c r="V78" s="42"/>
      <c r="W78" s="42"/>
      <c r="X78" s="42"/>
      <c r="Y78" s="42"/>
      <c r="Z78" s="42"/>
      <c r="AA78" s="42"/>
      <c r="AB78" s="42"/>
      <c r="AC78" s="42"/>
      <c r="AD78" s="42"/>
      <c r="AE78" s="42"/>
      <c r="AF78" s="42"/>
      <c r="AG78" s="42"/>
      <c r="AH78" s="42"/>
      <c r="AI78" s="42"/>
      <c r="AJ78" s="42"/>
      <c r="AK78" s="42"/>
      <c r="AL78" s="42"/>
      <c r="AM78" s="42"/>
      <c r="AN78" s="42"/>
      <c r="AO78" s="42"/>
      <c r="AP78" s="42"/>
    </row>
    <row r="79" spans="1:42" s="15" customFormat="1" ht="18" customHeight="1" x14ac:dyDescent="0.25">
      <c r="A79" s="346"/>
      <c r="B79" s="2170" t="s">
        <v>740</v>
      </c>
      <c r="C79" s="2170"/>
      <c r="D79" s="2170"/>
      <c r="E79" s="2170"/>
      <c r="F79" s="346"/>
      <c r="G79" s="1"/>
      <c r="H79" s="2165" t="s">
        <v>734</v>
      </c>
      <c r="I79" s="2165"/>
      <c r="J79" s="2165"/>
      <c r="K79" s="2165"/>
      <c r="L79" s="2165"/>
      <c r="M79" s="2165"/>
      <c r="N79" s="2165"/>
      <c r="O79" s="2165"/>
      <c r="P79" s="2165"/>
      <c r="Q79" s="1"/>
      <c r="R79" s="1"/>
      <c r="T79" s="42"/>
      <c r="U79" s="42"/>
      <c r="V79" s="42"/>
      <c r="W79" s="42"/>
      <c r="X79" s="42"/>
      <c r="Y79" s="42"/>
      <c r="Z79" s="42"/>
      <c r="AA79" s="42"/>
      <c r="AB79" s="42"/>
      <c r="AC79" s="42"/>
      <c r="AD79" s="42"/>
      <c r="AE79" s="42"/>
      <c r="AF79" s="42"/>
      <c r="AG79" s="42"/>
      <c r="AH79" s="42"/>
      <c r="AI79" s="42"/>
      <c r="AJ79" s="42"/>
      <c r="AK79" s="42"/>
      <c r="AL79" s="42"/>
      <c r="AM79" s="42"/>
      <c r="AN79" s="42"/>
      <c r="AO79" s="42"/>
      <c r="AP79" s="42"/>
    </row>
    <row r="80" spans="1:42" s="15" customFormat="1" ht="15" customHeight="1" x14ac:dyDescent="0.25">
      <c r="A80" s="346"/>
      <c r="B80" s="2168" t="s">
        <v>205</v>
      </c>
      <c r="C80" s="2168" t="s">
        <v>725</v>
      </c>
      <c r="D80" s="2168" t="s">
        <v>726</v>
      </c>
      <c r="E80" s="2168"/>
      <c r="F80" s="346"/>
      <c r="G80" s="1"/>
      <c r="H80" s="1"/>
      <c r="I80" s="1"/>
      <c r="J80" s="1"/>
      <c r="K80" s="1"/>
      <c r="L80" s="1"/>
      <c r="M80" s="1"/>
      <c r="N80" s="1"/>
      <c r="O80" s="1"/>
      <c r="P80" s="1"/>
      <c r="Q80" s="1"/>
      <c r="R80" s="1"/>
      <c r="T80" s="42"/>
      <c r="U80" s="42"/>
      <c r="V80" s="42"/>
      <c r="W80" s="42"/>
      <c r="X80" s="42"/>
      <c r="Y80" s="42"/>
      <c r="Z80" s="42"/>
      <c r="AA80" s="42"/>
      <c r="AB80" s="42"/>
      <c r="AC80" s="42"/>
      <c r="AD80" s="42"/>
      <c r="AE80" s="42"/>
      <c r="AF80" s="42"/>
      <c r="AG80" s="42"/>
      <c r="AH80" s="42"/>
      <c r="AI80" s="42"/>
      <c r="AJ80" s="42"/>
      <c r="AK80" s="42"/>
      <c r="AL80" s="42"/>
      <c r="AM80" s="42"/>
      <c r="AN80" s="42"/>
      <c r="AO80" s="42"/>
      <c r="AP80" s="42"/>
    </row>
    <row r="81" spans="1:42" s="15" customFormat="1" ht="15" customHeight="1" x14ac:dyDescent="0.2">
      <c r="A81" s="346"/>
      <c r="B81" s="2168"/>
      <c r="C81" s="2168"/>
      <c r="D81" s="383" t="s">
        <v>727</v>
      </c>
      <c r="E81" s="383" t="s">
        <v>728</v>
      </c>
      <c r="F81" s="346"/>
      <c r="G81" s="1"/>
      <c r="H81" s="1"/>
      <c r="I81" s="1"/>
      <c r="J81" s="1"/>
      <c r="K81" s="1"/>
      <c r="L81" s="1"/>
      <c r="M81" s="1"/>
      <c r="N81" s="1"/>
      <c r="O81" s="1"/>
      <c r="P81" s="1"/>
      <c r="Q81" s="1"/>
      <c r="R81" s="1"/>
      <c r="T81" s="1125"/>
      <c r="U81" s="1125"/>
      <c r="V81" s="1125"/>
      <c r="W81" s="1125"/>
      <c r="X81" s="1125"/>
      <c r="Y81" s="1125"/>
      <c r="Z81" s="1125"/>
      <c r="AA81" s="1125"/>
      <c r="AB81" s="1125"/>
      <c r="AC81" s="1125"/>
      <c r="AD81" s="1125"/>
      <c r="AE81" s="1125"/>
      <c r="AF81" s="1125"/>
      <c r="AG81" s="1125"/>
      <c r="AH81" s="1125"/>
      <c r="AI81" s="1125"/>
      <c r="AJ81" s="1125"/>
      <c r="AK81" s="1125"/>
      <c r="AL81" s="1125"/>
      <c r="AM81" s="1125"/>
      <c r="AN81" s="1125"/>
      <c r="AO81" s="1125"/>
      <c r="AP81" s="1125"/>
    </row>
    <row r="82" spans="1:42" s="15" customFormat="1" ht="15" customHeight="1" x14ac:dyDescent="0.2">
      <c r="A82" s="346"/>
      <c r="B82" s="2169" t="s">
        <v>729</v>
      </c>
      <c r="C82" s="384" t="s">
        <v>730</v>
      </c>
      <c r="D82" s="384">
        <v>0.9</v>
      </c>
      <c r="E82" s="384">
        <v>0.8</v>
      </c>
      <c r="F82" s="346"/>
      <c r="G82" s="1"/>
      <c r="H82" s="1"/>
      <c r="I82" s="1"/>
      <c r="J82" s="1"/>
      <c r="K82" s="1"/>
      <c r="L82" s="1"/>
      <c r="M82" s="1"/>
      <c r="N82" s="1"/>
      <c r="O82" s="1"/>
      <c r="P82" s="1"/>
      <c r="Q82" s="1"/>
      <c r="R82" s="1"/>
      <c r="T82" s="1125"/>
      <c r="U82" s="1125"/>
      <c r="V82" s="1125"/>
      <c r="W82" s="1125"/>
      <c r="X82" s="1125"/>
      <c r="Y82" s="1125"/>
      <c r="Z82" s="1125"/>
      <c r="AA82" s="1125"/>
      <c r="AB82" s="1125"/>
      <c r="AC82" s="1125"/>
      <c r="AD82" s="1125"/>
      <c r="AE82" s="1125"/>
      <c r="AF82" s="1125"/>
      <c r="AG82" s="1125"/>
      <c r="AH82" s="1125"/>
      <c r="AI82" s="1125"/>
      <c r="AJ82" s="1125"/>
      <c r="AK82" s="1125"/>
      <c r="AL82" s="1125"/>
      <c r="AM82" s="1125"/>
      <c r="AN82" s="1125"/>
      <c r="AO82" s="1125"/>
      <c r="AP82" s="1125"/>
    </row>
    <row r="83" spans="1:42" s="15" customFormat="1" ht="15" customHeight="1" x14ac:dyDescent="0.2">
      <c r="A83" s="346"/>
      <c r="B83" s="2169"/>
      <c r="C83" s="384" t="s">
        <v>731</v>
      </c>
      <c r="D83" s="384">
        <v>0.8</v>
      </c>
      <c r="E83" s="384">
        <v>0.7</v>
      </c>
      <c r="F83" s="346"/>
      <c r="G83" s="1"/>
      <c r="H83" s="1"/>
      <c r="I83" s="1"/>
      <c r="J83" s="1"/>
      <c r="K83" s="1"/>
      <c r="L83" s="1"/>
      <c r="M83" s="1"/>
      <c r="N83" s="1"/>
      <c r="O83" s="1"/>
      <c r="P83" s="1"/>
      <c r="Q83" s="1"/>
      <c r="R83" s="1"/>
      <c r="T83" s="1125"/>
      <c r="U83" s="1125"/>
      <c r="V83" s="1125"/>
      <c r="W83" s="1125"/>
      <c r="X83" s="1125"/>
      <c r="Y83" s="1125"/>
      <c r="Z83" s="1125"/>
      <c r="AA83" s="1125"/>
      <c r="AB83" s="1125"/>
      <c r="AC83" s="1125"/>
      <c r="AD83" s="1125"/>
      <c r="AE83" s="1125"/>
      <c r="AF83" s="1125"/>
      <c r="AG83" s="1125"/>
      <c r="AH83" s="1125"/>
      <c r="AI83" s="1125"/>
      <c r="AJ83" s="1125"/>
      <c r="AK83" s="1125"/>
      <c r="AL83" s="1125"/>
      <c r="AM83" s="1125"/>
      <c r="AN83" s="1125"/>
      <c r="AO83" s="1125"/>
      <c r="AP83" s="1125"/>
    </row>
    <row r="84" spans="1:42" s="15" customFormat="1" ht="15" customHeight="1" x14ac:dyDescent="0.2">
      <c r="A84" s="346"/>
      <c r="B84" s="2169"/>
      <c r="C84" s="384" t="s">
        <v>732</v>
      </c>
      <c r="D84" s="384">
        <v>0.7</v>
      </c>
      <c r="E84" s="384">
        <v>0.6</v>
      </c>
      <c r="F84" s="346"/>
      <c r="G84" s="1"/>
      <c r="H84" s="1"/>
      <c r="I84" s="1"/>
      <c r="J84" s="1"/>
      <c r="K84" s="1"/>
      <c r="L84" s="1"/>
      <c r="M84" s="1"/>
      <c r="N84" s="1"/>
      <c r="O84" s="1"/>
      <c r="P84" s="1"/>
      <c r="Q84" s="1"/>
      <c r="R84" s="1"/>
      <c r="T84" s="1125"/>
      <c r="U84" s="1125"/>
      <c r="V84" s="1125"/>
      <c r="W84" s="1125"/>
      <c r="X84" s="1125"/>
      <c r="Y84" s="1125"/>
      <c r="Z84" s="1125"/>
      <c r="AA84" s="1125"/>
      <c r="AB84" s="1125"/>
      <c r="AC84" s="1125"/>
      <c r="AD84" s="1125"/>
      <c r="AE84" s="1125"/>
      <c r="AF84" s="1125"/>
      <c r="AG84" s="1125"/>
      <c r="AH84" s="1125"/>
      <c r="AI84" s="1125"/>
      <c r="AJ84" s="1125"/>
      <c r="AK84" s="1125"/>
      <c r="AL84" s="1125"/>
      <c r="AM84" s="1125"/>
      <c r="AN84" s="1125"/>
      <c r="AO84" s="1125"/>
      <c r="AP84" s="1125"/>
    </row>
    <row r="85" spans="1:42" s="15" customFormat="1" ht="15" customHeight="1" x14ac:dyDescent="0.2">
      <c r="A85" s="346"/>
      <c r="B85" s="2169" t="s">
        <v>733</v>
      </c>
      <c r="C85" s="384" t="s">
        <v>730</v>
      </c>
      <c r="D85" s="384">
        <v>0.8</v>
      </c>
      <c r="E85" s="384">
        <v>0.7</v>
      </c>
      <c r="F85" s="346"/>
      <c r="G85" s="1"/>
      <c r="H85" s="1"/>
      <c r="I85" s="1"/>
      <c r="J85" s="1"/>
      <c r="K85" s="1"/>
      <c r="L85" s="1"/>
      <c r="M85" s="1"/>
      <c r="N85" s="1"/>
      <c r="O85" s="1"/>
      <c r="P85" s="1"/>
      <c r="Q85" s="1"/>
      <c r="R85" s="1"/>
      <c r="T85" s="1125"/>
      <c r="U85" s="1125"/>
      <c r="V85" s="1125"/>
      <c r="W85" s="1125"/>
      <c r="X85" s="1125"/>
      <c r="Y85" s="1125"/>
      <c r="Z85" s="1125"/>
      <c r="AA85" s="1125"/>
      <c r="AB85" s="1125"/>
      <c r="AC85" s="1125"/>
      <c r="AD85" s="1125"/>
      <c r="AE85" s="1125"/>
      <c r="AF85" s="1125"/>
      <c r="AG85" s="1125"/>
      <c r="AH85" s="1125"/>
      <c r="AI85" s="1125"/>
      <c r="AJ85" s="1125"/>
      <c r="AK85" s="1125"/>
      <c r="AL85" s="1125"/>
      <c r="AM85" s="1125"/>
      <c r="AN85" s="1125"/>
      <c r="AO85" s="1125"/>
      <c r="AP85" s="1125"/>
    </row>
    <row r="86" spans="1:42" s="15" customFormat="1" ht="15" customHeight="1" x14ac:dyDescent="0.2">
      <c r="A86" s="346"/>
      <c r="B86" s="2169"/>
      <c r="C86" s="384" t="s">
        <v>731</v>
      </c>
      <c r="D86" s="384">
        <v>0.7</v>
      </c>
      <c r="E86" s="384">
        <v>0.6</v>
      </c>
      <c r="F86" s="346"/>
      <c r="G86" s="1"/>
      <c r="H86" s="1"/>
      <c r="I86" s="1"/>
      <c r="J86" s="1"/>
      <c r="K86" s="1"/>
      <c r="L86" s="1"/>
      <c r="M86" s="1"/>
      <c r="N86" s="1"/>
      <c r="O86" s="1"/>
      <c r="P86" s="1"/>
      <c r="Q86" s="1"/>
      <c r="R86" s="1"/>
      <c r="T86" s="1125"/>
      <c r="U86" s="1125"/>
      <c r="V86" s="1125"/>
      <c r="W86" s="1125"/>
      <c r="X86" s="1125"/>
      <c r="Y86" s="1125"/>
      <c r="Z86" s="1125"/>
      <c r="AA86" s="1125"/>
      <c r="AB86" s="1125"/>
      <c r="AC86" s="1125"/>
      <c r="AD86" s="1125"/>
      <c r="AE86" s="1125"/>
      <c r="AF86" s="1125"/>
      <c r="AG86" s="1125"/>
      <c r="AH86" s="1125"/>
      <c r="AI86" s="1125"/>
      <c r="AJ86" s="1125"/>
      <c r="AK86" s="1125"/>
      <c r="AL86" s="1125"/>
      <c r="AM86" s="1125"/>
      <c r="AN86" s="1125"/>
      <c r="AO86" s="1125"/>
      <c r="AP86" s="1125"/>
    </row>
    <row r="87" spans="1:42" s="15" customFormat="1" ht="15" customHeight="1" x14ac:dyDescent="0.2">
      <c r="A87" s="346"/>
      <c r="B87" s="2169"/>
      <c r="C87" s="384" t="s">
        <v>732</v>
      </c>
      <c r="D87" s="384">
        <v>0.6</v>
      </c>
      <c r="E87" s="384">
        <v>0.5</v>
      </c>
      <c r="F87" s="346"/>
      <c r="G87" s="1"/>
      <c r="H87" s="1"/>
      <c r="I87" s="1"/>
      <c r="J87" s="1"/>
      <c r="K87" s="1"/>
      <c r="L87" s="1"/>
      <c r="M87" s="1"/>
      <c r="N87" s="1"/>
      <c r="O87" s="1"/>
      <c r="P87" s="1"/>
      <c r="Q87" s="1"/>
      <c r="R87" s="1"/>
      <c r="T87" s="1125"/>
      <c r="U87" s="1125"/>
      <c r="V87" s="1125"/>
      <c r="W87" s="1125"/>
      <c r="X87" s="1125"/>
      <c r="Y87" s="1125"/>
      <c r="Z87" s="1125"/>
      <c r="AA87" s="1125"/>
      <c r="AB87" s="1125"/>
      <c r="AC87" s="1125"/>
      <c r="AD87" s="1125"/>
      <c r="AE87" s="1125"/>
      <c r="AF87" s="1125"/>
      <c r="AG87" s="1125"/>
      <c r="AH87" s="1125"/>
      <c r="AI87" s="1125"/>
      <c r="AJ87" s="1125"/>
      <c r="AK87" s="1125"/>
      <c r="AL87" s="1125"/>
      <c r="AM87" s="1125"/>
      <c r="AN87" s="1125"/>
      <c r="AO87" s="1125"/>
      <c r="AP87" s="1125"/>
    </row>
    <row r="88" spans="1:42" s="15" customFormat="1" ht="15" customHeight="1" x14ac:dyDescent="0.2">
      <c r="A88" s="346"/>
      <c r="B88" s="948" t="s">
        <v>741</v>
      </c>
      <c r="C88" s="346"/>
      <c r="D88" s="346"/>
      <c r="E88" s="346"/>
      <c r="F88" s="346"/>
      <c r="G88" s="1"/>
      <c r="H88" s="1"/>
      <c r="I88" s="1"/>
      <c r="J88" s="1"/>
      <c r="K88" s="1"/>
      <c r="L88" s="1"/>
      <c r="M88" s="1"/>
      <c r="N88" s="1"/>
      <c r="O88" s="1"/>
      <c r="P88" s="1"/>
      <c r="Q88" s="1"/>
      <c r="R88" s="1"/>
      <c r="T88" s="1125"/>
      <c r="U88" s="1125"/>
      <c r="V88" s="1125"/>
      <c r="W88" s="1125"/>
      <c r="X88" s="1125"/>
      <c r="Y88" s="1125"/>
      <c r="Z88" s="1125"/>
      <c r="AA88" s="1125"/>
      <c r="AB88" s="1125"/>
      <c r="AC88" s="1125"/>
      <c r="AD88" s="1125"/>
      <c r="AE88" s="1125"/>
      <c r="AF88" s="1125"/>
      <c r="AG88" s="1125"/>
      <c r="AH88" s="1125"/>
      <c r="AI88" s="1125"/>
      <c r="AJ88" s="1125"/>
      <c r="AK88" s="1125"/>
      <c r="AL88" s="1125"/>
      <c r="AM88" s="1125"/>
      <c r="AN88" s="1125"/>
      <c r="AO88" s="1125"/>
      <c r="AP88" s="1125"/>
    </row>
    <row r="89" spans="1:42" s="15" customFormat="1" ht="15" customHeight="1" x14ac:dyDescent="0.2">
      <c r="A89" s="946"/>
      <c r="B89" s="946"/>
      <c r="C89" s="946"/>
      <c r="D89" s="946"/>
      <c r="E89" s="946"/>
      <c r="F89" s="946"/>
      <c r="G89" s="946"/>
      <c r="H89" s="1"/>
      <c r="I89" s="1"/>
      <c r="J89" s="1"/>
      <c r="K89" s="1"/>
      <c r="L89" s="1"/>
      <c r="M89" s="1"/>
      <c r="N89" s="1"/>
      <c r="O89" s="1"/>
      <c r="P89" s="1"/>
      <c r="Q89" s="1"/>
      <c r="R89" s="1"/>
      <c r="T89" s="1125"/>
      <c r="U89" s="1125"/>
      <c r="V89" s="1125"/>
      <c r="W89" s="1125"/>
      <c r="X89" s="1125"/>
      <c r="Y89" s="1125"/>
      <c r="Z89" s="1125"/>
      <c r="AA89" s="1125"/>
      <c r="AB89" s="1125"/>
      <c r="AC89" s="1125"/>
      <c r="AD89" s="1125"/>
      <c r="AE89" s="1125"/>
      <c r="AF89" s="1125"/>
      <c r="AG89" s="1125"/>
      <c r="AH89" s="1125"/>
      <c r="AI89" s="1125"/>
      <c r="AJ89" s="1125"/>
      <c r="AK89" s="1125"/>
      <c r="AL89" s="1125"/>
      <c r="AM89" s="1125"/>
      <c r="AN89" s="1125"/>
      <c r="AO89" s="1125"/>
      <c r="AP89" s="1125"/>
    </row>
    <row r="90" spans="1:42" s="15" customFormat="1" ht="15" customHeight="1" x14ac:dyDescent="0.2">
      <c r="A90" s="2171" t="s">
        <v>842</v>
      </c>
      <c r="B90" s="2172"/>
      <c r="C90" s="2172"/>
      <c r="D90" s="2172"/>
      <c r="E90" s="2172"/>
      <c r="F90" s="2172"/>
      <c r="G90" s="946"/>
      <c r="H90" s="1"/>
      <c r="I90" s="1"/>
      <c r="J90" s="1"/>
      <c r="K90" s="1"/>
      <c r="L90" s="1"/>
      <c r="M90" s="1"/>
      <c r="N90" s="1"/>
      <c r="O90" s="1"/>
      <c r="P90" s="1"/>
      <c r="Q90" s="1"/>
      <c r="R90" s="1"/>
      <c r="T90" s="1125"/>
      <c r="U90" s="1125"/>
      <c r="V90" s="1125"/>
      <c r="W90" s="1125"/>
      <c r="X90" s="1125"/>
      <c r="Y90" s="1125"/>
      <c r="Z90" s="1125"/>
      <c r="AA90" s="1125"/>
      <c r="AB90" s="1125"/>
      <c r="AC90" s="1125"/>
      <c r="AD90" s="1125"/>
      <c r="AE90" s="1125"/>
      <c r="AF90" s="1125"/>
      <c r="AG90" s="1125"/>
      <c r="AH90" s="1125"/>
      <c r="AI90" s="1125"/>
      <c r="AJ90" s="1125"/>
      <c r="AK90" s="1125"/>
      <c r="AL90" s="1125"/>
      <c r="AM90" s="1125"/>
      <c r="AN90" s="1125"/>
      <c r="AO90" s="1125"/>
      <c r="AP90" s="1125"/>
    </row>
    <row r="91" spans="1:42" s="15" customFormat="1" ht="14.25" customHeight="1" x14ac:dyDescent="0.2">
      <c r="A91" s="523"/>
      <c r="B91" s="1943" t="s">
        <v>833</v>
      </c>
      <c r="C91" s="1943"/>
      <c r="D91" s="1943"/>
      <c r="E91" s="1943" t="s">
        <v>834</v>
      </c>
      <c r="F91" s="1943"/>
      <c r="G91" s="946"/>
      <c r="H91" s="523"/>
      <c r="I91" s="947"/>
      <c r="J91" s="947"/>
      <c r="K91" s="947"/>
      <c r="L91" s="947"/>
      <c r="M91" s="947"/>
      <c r="N91" s="947"/>
      <c r="O91" s="947"/>
      <c r="P91" s="947"/>
      <c r="Q91" s="947"/>
      <c r="R91" s="1"/>
      <c r="T91" s="1125"/>
      <c r="U91" s="1125"/>
      <c r="V91" s="1125"/>
      <c r="W91" s="1125"/>
      <c r="X91" s="1125"/>
      <c r="Y91" s="1125"/>
      <c r="Z91" s="1125"/>
      <c r="AA91" s="1125"/>
      <c r="AB91" s="1125"/>
      <c r="AC91" s="1125"/>
      <c r="AD91" s="1125"/>
      <c r="AE91" s="1125"/>
      <c r="AF91" s="1125"/>
      <c r="AG91" s="1125"/>
      <c r="AH91" s="1125"/>
      <c r="AI91" s="1125"/>
      <c r="AJ91" s="1125"/>
      <c r="AK91" s="1125"/>
      <c r="AL91" s="1125"/>
      <c r="AM91" s="1125"/>
      <c r="AN91" s="1125"/>
      <c r="AO91" s="1125"/>
      <c r="AP91" s="1125"/>
    </row>
    <row r="92" spans="1:42" s="15" customFormat="1" ht="15" customHeight="1" x14ac:dyDescent="0.2">
      <c r="A92" s="946"/>
      <c r="B92" s="1943"/>
      <c r="C92" s="1943"/>
      <c r="D92" s="1943"/>
      <c r="E92" s="1943"/>
      <c r="F92" s="1943"/>
      <c r="G92" s="946"/>
      <c r="H92" s="947"/>
      <c r="I92" s="947"/>
      <c r="J92" s="947"/>
      <c r="K92" s="947"/>
      <c r="L92" s="947"/>
      <c r="M92" s="947"/>
      <c r="N92" s="947"/>
      <c r="O92" s="947"/>
      <c r="P92" s="947"/>
      <c r="Q92" s="947"/>
      <c r="R92" s="1"/>
      <c r="T92" s="1125"/>
      <c r="U92" s="1125"/>
      <c r="V92" s="1125"/>
      <c r="W92" s="1125"/>
      <c r="X92" s="1125"/>
      <c r="Y92" s="1125"/>
      <c r="Z92" s="1125"/>
      <c r="AA92" s="1125"/>
      <c r="AB92" s="1125"/>
      <c r="AC92" s="1125"/>
      <c r="AD92" s="1125"/>
      <c r="AE92" s="1125"/>
      <c r="AF92" s="1125"/>
      <c r="AG92" s="1125"/>
      <c r="AH92" s="1125"/>
      <c r="AI92" s="1125"/>
      <c r="AJ92" s="1125"/>
      <c r="AK92" s="1125"/>
      <c r="AL92" s="1125"/>
      <c r="AM92" s="1125"/>
      <c r="AN92" s="1125"/>
      <c r="AO92" s="1125"/>
      <c r="AP92" s="1125"/>
    </row>
    <row r="93" spans="1:42" s="15" customFormat="1" ht="14.25" x14ac:dyDescent="0.2">
      <c r="A93" s="946"/>
      <c r="B93" s="2159" t="s">
        <v>835</v>
      </c>
      <c r="C93" s="2159" t="s">
        <v>836</v>
      </c>
      <c r="D93" s="2159"/>
      <c r="E93" s="2159">
        <v>0.9</v>
      </c>
      <c r="F93" s="2159"/>
      <c r="G93" s="946"/>
      <c r="H93" s="1"/>
      <c r="I93" s="2184" t="s">
        <v>738</v>
      </c>
      <c r="J93" s="2184"/>
      <c r="K93" s="2184"/>
      <c r="L93" s="2184"/>
      <c r="M93" s="2184"/>
      <c r="N93" s="2184"/>
      <c r="O93" s="1"/>
      <c r="P93" s="1"/>
      <c r="Q93" s="1"/>
      <c r="R93" s="1"/>
      <c r="T93" s="1125"/>
      <c r="U93" s="1125"/>
      <c r="V93" s="1125"/>
      <c r="W93" s="1125"/>
      <c r="X93" s="1125"/>
      <c r="Y93" s="1125"/>
      <c r="Z93" s="1125"/>
      <c r="AA93" s="1125"/>
      <c r="AB93" s="1125"/>
      <c r="AC93" s="1125"/>
      <c r="AD93" s="1125"/>
      <c r="AE93" s="1125"/>
      <c r="AF93" s="1125"/>
      <c r="AG93" s="1125"/>
      <c r="AH93" s="1125"/>
      <c r="AI93" s="1125"/>
      <c r="AJ93" s="1125"/>
      <c r="AK93" s="1125"/>
      <c r="AL93" s="1125"/>
      <c r="AM93" s="1125"/>
      <c r="AN93" s="1125"/>
      <c r="AO93" s="1125"/>
      <c r="AP93" s="1125"/>
    </row>
    <row r="94" spans="1:42" s="15" customFormat="1" ht="15" customHeight="1" x14ac:dyDescent="0.2">
      <c r="A94" s="946"/>
      <c r="B94" s="2159"/>
      <c r="C94" s="2159" t="s">
        <v>837</v>
      </c>
      <c r="D94" s="2159"/>
      <c r="E94" s="2159">
        <v>0.68</v>
      </c>
      <c r="F94" s="2159"/>
      <c r="G94" s="946"/>
      <c r="H94" s="1"/>
      <c r="I94" s="1"/>
      <c r="J94" s="2163" t="s">
        <v>735</v>
      </c>
      <c r="K94" s="2163"/>
      <c r="L94" s="2163" t="s">
        <v>736</v>
      </c>
      <c r="M94" s="2163"/>
      <c r="N94" s="1"/>
      <c r="O94" s="1"/>
      <c r="P94" s="1"/>
      <c r="Q94" s="1"/>
      <c r="R94" s="1"/>
      <c r="T94" s="1125"/>
      <c r="U94" s="1125"/>
      <c r="V94" s="1125"/>
      <c r="W94" s="1125"/>
      <c r="X94" s="1125"/>
      <c r="Y94" s="1125"/>
      <c r="Z94" s="1125"/>
      <c r="AA94" s="1125"/>
      <c r="AB94" s="1125"/>
      <c r="AC94" s="1125"/>
      <c r="AD94" s="1125"/>
      <c r="AE94" s="1125"/>
      <c r="AF94" s="1125"/>
      <c r="AG94" s="1125"/>
      <c r="AH94" s="1125"/>
      <c r="AI94" s="1125"/>
      <c r="AJ94" s="1125"/>
      <c r="AK94" s="1125"/>
      <c r="AL94" s="1125"/>
      <c r="AM94" s="1125"/>
      <c r="AN94" s="1125"/>
      <c r="AO94" s="1125"/>
      <c r="AP94" s="1125"/>
    </row>
    <row r="95" spans="1:42" s="15" customFormat="1" ht="15" customHeight="1" x14ac:dyDescent="0.2">
      <c r="A95" s="946"/>
      <c r="B95" s="2159"/>
      <c r="C95" s="2159" t="s">
        <v>838</v>
      </c>
      <c r="D95" s="2159"/>
      <c r="E95" s="2159">
        <v>0.27</v>
      </c>
      <c r="F95" s="2159"/>
      <c r="G95" s="946"/>
      <c r="H95" s="1"/>
      <c r="I95" s="1"/>
      <c r="J95" s="2164"/>
      <c r="K95" s="2164"/>
      <c r="L95" s="2164"/>
      <c r="M95" s="2164"/>
      <c r="N95" s="1"/>
      <c r="O95" s="1"/>
      <c r="P95" s="1"/>
      <c r="Q95" s="1"/>
      <c r="R95" s="1"/>
      <c r="T95" s="1125"/>
      <c r="U95" s="1125"/>
      <c r="V95" s="1125"/>
      <c r="W95" s="1125"/>
      <c r="X95" s="1125"/>
      <c r="Y95" s="1125"/>
      <c r="Z95" s="1125"/>
      <c r="AA95" s="1125"/>
      <c r="AB95" s="1125"/>
      <c r="AC95" s="1125"/>
      <c r="AD95" s="1125"/>
      <c r="AE95" s="1125"/>
      <c r="AF95" s="1125"/>
      <c r="AG95" s="1125"/>
      <c r="AH95" s="1125"/>
      <c r="AI95" s="1125"/>
      <c r="AJ95" s="1125"/>
      <c r="AK95" s="1125"/>
      <c r="AL95" s="1125"/>
      <c r="AM95" s="1125"/>
      <c r="AN95" s="1125"/>
      <c r="AO95" s="1125"/>
      <c r="AP95" s="1125"/>
    </row>
    <row r="96" spans="1:42" s="15" customFormat="1" ht="15" customHeight="1" x14ac:dyDescent="0.2">
      <c r="A96" s="946"/>
      <c r="B96" s="2159" t="s">
        <v>839</v>
      </c>
      <c r="C96" s="2159" t="s">
        <v>836</v>
      </c>
      <c r="D96" s="2159"/>
      <c r="E96" s="2159">
        <v>0.81</v>
      </c>
      <c r="F96" s="2159"/>
      <c r="G96" s="946"/>
      <c r="H96" s="1"/>
      <c r="I96" s="1"/>
      <c r="J96" s="2166" t="s">
        <v>649</v>
      </c>
      <c r="K96" s="2167"/>
      <c r="L96" s="2166">
        <v>0.7</v>
      </c>
      <c r="M96" s="2167"/>
      <c r="N96" s="1"/>
      <c r="O96" s="1"/>
      <c r="P96" s="1"/>
      <c r="Q96" s="1"/>
      <c r="R96" s="1"/>
      <c r="T96" s="1125"/>
      <c r="U96" s="1125"/>
      <c r="V96" s="1125"/>
      <c r="W96" s="1125"/>
      <c r="X96" s="1125"/>
      <c r="Y96" s="1125"/>
      <c r="Z96" s="1125"/>
      <c r="AA96" s="1125"/>
      <c r="AB96" s="1125"/>
      <c r="AC96" s="1125"/>
      <c r="AD96" s="1125"/>
      <c r="AE96" s="1125"/>
      <c r="AF96" s="1125"/>
      <c r="AG96" s="1125"/>
      <c r="AH96" s="1125"/>
      <c r="AI96" s="1125"/>
      <c r="AJ96" s="1125"/>
      <c r="AK96" s="1125"/>
      <c r="AL96" s="1125"/>
      <c r="AM96" s="1125"/>
      <c r="AN96" s="1125"/>
      <c r="AO96" s="1125"/>
      <c r="AP96" s="1125"/>
    </row>
    <row r="97" spans="1:42" s="15" customFormat="1" ht="15" customHeight="1" x14ac:dyDescent="0.2">
      <c r="A97" s="946"/>
      <c r="B97" s="2159"/>
      <c r="C97" s="2159" t="s">
        <v>837</v>
      </c>
      <c r="D97" s="2159"/>
      <c r="E97" s="2159">
        <v>0.62</v>
      </c>
      <c r="F97" s="2159"/>
      <c r="G97" s="946"/>
      <c r="H97" s="1"/>
      <c r="I97" s="1"/>
      <c r="J97" s="2166" t="s">
        <v>737</v>
      </c>
      <c r="K97" s="2167"/>
      <c r="L97" s="2166">
        <v>0.5</v>
      </c>
      <c r="M97" s="2167"/>
      <c r="N97" s="1"/>
      <c r="O97" s="1"/>
      <c r="P97" s="1"/>
      <c r="Q97" s="1"/>
      <c r="R97" s="1"/>
      <c r="T97" s="1125"/>
      <c r="U97" s="1125"/>
      <c r="V97" s="1125"/>
      <c r="W97" s="1125"/>
      <c r="X97" s="1125"/>
      <c r="Y97" s="1125"/>
      <c r="Z97" s="1125"/>
      <c r="AA97" s="1125"/>
      <c r="AB97" s="1125"/>
      <c r="AC97" s="1125"/>
      <c r="AD97" s="1125"/>
      <c r="AE97" s="1125"/>
      <c r="AF97" s="1125"/>
      <c r="AG97" s="1125"/>
      <c r="AH97" s="1125"/>
      <c r="AI97" s="1125"/>
      <c r="AJ97" s="1125"/>
      <c r="AK97" s="1125"/>
      <c r="AL97" s="1125"/>
      <c r="AM97" s="1125"/>
      <c r="AN97" s="1125"/>
      <c r="AO97" s="1125"/>
      <c r="AP97" s="1125"/>
    </row>
    <row r="98" spans="1:42" s="15" customFormat="1" ht="15" customHeight="1" x14ac:dyDescent="0.2">
      <c r="A98" s="946"/>
      <c r="B98" s="2159"/>
      <c r="C98" s="2159" t="s">
        <v>838</v>
      </c>
      <c r="D98" s="2159"/>
      <c r="E98" s="2159">
        <v>0.1</v>
      </c>
      <c r="F98" s="2159"/>
      <c r="G98" s="946"/>
      <c r="H98" s="1"/>
      <c r="I98" s="1"/>
      <c r="J98" s="2166" t="s">
        <v>651</v>
      </c>
      <c r="K98" s="2167"/>
      <c r="L98" s="2166">
        <v>0.2</v>
      </c>
      <c r="M98" s="2167"/>
      <c r="N98" s="1"/>
      <c r="O98" s="1"/>
      <c r="P98" s="1"/>
      <c r="Q98" s="1"/>
      <c r="R98" s="1"/>
      <c r="T98" s="1125"/>
      <c r="U98" s="1125"/>
      <c r="V98" s="1125"/>
      <c r="W98" s="1125"/>
      <c r="X98" s="1125"/>
      <c r="Y98" s="1125"/>
      <c r="Z98" s="1125"/>
      <c r="AA98" s="1125"/>
      <c r="AB98" s="1125"/>
      <c r="AC98" s="1125"/>
      <c r="AD98" s="1125"/>
      <c r="AE98" s="1125"/>
      <c r="AF98" s="1125"/>
      <c r="AG98" s="1125"/>
      <c r="AH98" s="1125"/>
      <c r="AI98" s="1125"/>
      <c r="AJ98" s="1125"/>
      <c r="AK98" s="1125"/>
      <c r="AL98" s="1125"/>
      <c r="AM98" s="1125"/>
      <c r="AN98" s="1125"/>
      <c r="AO98" s="1125"/>
      <c r="AP98" s="1125"/>
    </row>
    <row r="99" spans="1:42" s="15" customFormat="1" ht="15" customHeight="1" x14ac:dyDescent="0.2">
      <c r="A99" s="946"/>
      <c r="B99" s="2159"/>
      <c r="C99" s="2159" t="s">
        <v>840</v>
      </c>
      <c r="D99" s="2159"/>
      <c r="E99" s="2159">
        <v>0.75</v>
      </c>
      <c r="F99" s="2159"/>
      <c r="G99" s="946"/>
      <c r="H99" s="1"/>
      <c r="I99" s="1"/>
      <c r="J99" s="948" t="s">
        <v>739</v>
      </c>
      <c r="K99" s="1"/>
      <c r="L99" s="1"/>
      <c r="M99" s="1"/>
      <c r="N99" s="1"/>
      <c r="O99" s="1"/>
      <c r="P99" s="1"/>
      <c r="Q99" s="1"/>
      <c r="R99" s="1"/>
      <c r="T99" s="1125"/>
      <c r="U99" s="1125"/>
      <c r="V99" s="1125"/>
      <c r="W99" s="1125"/>
      <c r="X99" s="1125"/>
      <c r="Y99" s="1125"/>
      <c r="Z99" s="1125"/>
      <c r="AA99" s="1125"/>
      <c r="AB99" s="1125"/>
      <c r="AC99" s="1125"/>
      <c r="AD99" s="1125"/>
      <c r="AE99" s="1125"/>
      <c r="AF99" s="1125"/>
      <c r="AG99" s="1125"/>
      <c r="AH99" s="1125"/>
      <c r="AI99" s="1125"/>
      <c r="AJ99" s="1125"/>
      <c r="AK99" s="1125"/>
      <c r="AL99" s="1125"/>
      <c r="AM99" s="1125"/>
      <c r="AN99" s="1125"/>
      <c r="AO99" s="1125"/>
      <c r="AP99" s="1125"/>
    </row>
    <row r="100" spans="1:42" s="15" customFormat="1" ht="15" customHeight="1" x14ac:dyDescent="0.2">
      <c r="A100" s="946"/>
      <c r="B100" s="2159"/>
      <c r="C100" s="2159" t="s">
        <v>841</v>
      </c>
      <c r="D100" s="2159"/>
      <c r="E100" s="2159">
        <v>0.64</v>
      </c>
      <c r="F100" s="2159"/>
      <c r="G100" s="946"/>
      <c r="H100" s="1"/>
      <c r="I100" s="1"/>
      <c r="J100" s="948"/>
      <c r="K100" s="1"/>
      <c r="L100" s="1"/>
      <c r="M100" s="1"/>
      <c r="N100" s="1"/>
      <c r="O100" s="1"/>
      <c r="P100" s="1"/>
      <c r="Q100" s="1"/>
      <c r="R100" s="1"/>
      <c r="T100" s="1125"/>
      <c r="U100" s="1125"/>
      <c r="V100" s="1125"/>
      <c r="W100" s="1125"/>
      <c r="X100" s="1125"/>
      <c r="Y100" s="1125"/>
      <c r="Z100" s="1125"/>
      <c r="AA100" s="1125"/>
      <c r="AB100" s="1125"/>
      <c r="AC100" s="1125"/>
      <c r="AD100" s="1125"/>
      <c r="AE100" s="1125"/>
      <c r="AF100" s="1125"/>
      <c r="AG100" s="1125"/>
      <c r="AH100" s="1125"/>
      <c r="AI100" s="1125"/>
      <c r="AJ100" s="1125"/>
      <c r="AK100" s="1125"/>
      <c r="AL100" s="1125"/>
      <c r="AM100" s="1125"/>
      <c r="AN100" s="1125"/>
      <c r="AO100" s="1125"/>
      <c r="AP100" s="1125"/>
    </row>
    <row r="101" spans="1:42" s="15" customFormat="1" ht="15" customHeight="1" x14ac:dyDescent="0.2">
      <c r="A101" s="946"/>
      <c r="B101" s="476" t="s">
        <v>843</v>
      </c>
      <c r="C101" s="946"/>
      <c r="D101" s="946"/>
      <c r="E101" s="946"/>
      <c r="F101" s="946"/>
      <c r="G101" s="946"/>
      <c r="H101" s="1"/>
      <c r="I101" s="1"/>
      <c r="J101" s="948"/>
      <c r="K101" s="1"/>
      <c r="L101" s="1"/>
      <c r="M101" s="1"/>
      <c r="N101" s="1"/>
      <c r="O101" s="1"/>
      <c r="P101" s="1"/>
      <c r="Q101" s="1"/>
      <c r="R101" s="1"/>
      <c r="T101" s="1125"/>
      <c r="U101" s="1125"/>
      <c r="V101" s="1125"/>
      <c r="W101" s="1125"/>
      <c r="X101" s="1125"/>
      <c r="Y101" s="1125"/>
      <c r="Z101" s="1125"/>
      <c r="AA101" s="1125"/>
      <c r="AB101" s="1125"/>
      <c r="AC101" s="1125"/>
      <c r="AD101" s="1125"/>
      <c r="AE101" s="1125"/>
      <c r="AF101" s="1125"/>
      <c r="AG101" s="1125"/>
      <c r="AH101" s="1125"/>
      <c r="AI101" s="1125"/>
      <c r="AJ101" s="1125"/>
      <c r="AK101" s="1125"/>
      <c r="AL101" s="1125"/>
      <c r="AM101" s="1125"/>
      <c r="AN101" s="1125"/>
      <c r="AO101" s="1125"/>
      <c r="AP101" s="1125"/>
    </row>
    <row r="102" spans="1:42" s="15" customFormat="1" ht="15" customHeight="1" x14ac:dyDescent="0.2">
      <c r="A102" s="949"/>
      <c r="B102" s="949"/>
      <c r="C102" s="949"/>
      <c r="D102" s="949"/>
      <c r="E102" s="949"/>
      <c r="F102" s="949"/>
      <c r="G102" s="949"/>
      <c r="H102" s="940"/>
      <c r="I102" s="940"/>
      <c r="J102" s="940"/>
      <c r="K102" s="940"/>
      <c r="L102" s="940"/>
      <c r="M102" s="940"/>
      <c r="N102" s="940"/>
      <c r="O102" s="940"/>
      <c r="P102" s="940"/>
      <c r="Q102" s="940"/>
      <c r="R102" s="940"/>
      <c r="T102" s="1125"/>
      <c r="U102" s="1125"/>
      <c r="V102" s="1125"/>
      <c r="W102" s="1125"/>
      <c r="X102" s="1125"/>
      <c r="Y102" s="1125"/>
      <c r="Z102" s="1125"/>
      <c r="AA102" s="1125"/>
      <c r="AB102" s="1125"/>
      <c r="AC102" s="1125"/>
      <c r="AD102" s="1125"/>
      <c r="AE102" s="1125"/>
      <c r="AF102" s="1125"/>
      <c r="AG102" s="1125"/>
      <c r="AH102" s="1125"/>
      <c r="AI102" s="1125"/>
      <c r="AJ102" s="1125"/>
      <c r="AK102" s="1125"/>
      <c r="AL102" s="1125"/>
      <c r="AM102" s="1125"/>
      <c r="AN102" s="1125"/>
      <c r="AO102" s="1125"/>
      <c r="AP102" s="1125"/>
    </row>
    <row r="103" spans="1:42" s="15" customFormat="1" ht="21.75" customHeight="1" x14ac:dyDescent="0.2">
      <c r="A103" s="2156" t="s">
        <v>329</v>
      </c>
      <c r="B103" s="2156"/>
      <c r="C103" s="2156"/>
      <c r="D103" s="2156"/>
      <c r="E103" s="2156"/>
      <c r="F103" s="2156"/>
      <c r="G103" s="1"/>
      <c r="H103" s="1"/>
      <c r="I103" s="1"/>
      <c r="J103" s="1"/>
      <c r="K103" s="1"/>
      <c r="L103" s="1"/>
      <c r="M103" s="1"/>
      <c r="N103" s="1"/>
      <c r="O103" s="1"/>
      <c r="P103" s="1"/>
      <c r="Q103" s="1"/>
      <c r="R103" s="1"/>
      <c r="T103" s="1125"/>
      <c r="U103" s="1125"/>
      <c r="V103" s="1125"/>
      <c r="W103" s="1125"/>
      <c r="X103" s="1125"/>
      <c r="Y103" s="1125"/>
      <c r="Z103" s="1125"/>
      <c r="AA103" s="1125"/>
      <c r="AB103" s="1125"/>
      <c r="AC103" s="1125"/>
      <c r="AD103" s="1125"/>
      <c r="AE103" s="1125"/>
      <c r="AF103" s="1125"/>
      <c r="AG103" s="1125"/>
      <c r="AH103" s="1125"/>
      <c r="AI103" s="1125"/>
      <c r="AJ103" s="1125"/>
      <c r="AK103" s="1125"/>
      <c r="AL103" s="1125"/>
      <c r="AM103" s="1125"/>
      <c r="AN103" s="1125"/>
      <c r="AO103" s="1125"/>
      <c r="AP103" s="1125"/>
    </row>
    <row r="104" spans="1:42" s="15" customFormat="1" ht="15" customHeight="1" x14ac:dyDescent="0.2">
      <c r="A104" s="346"/>
      <c r="B104" s="346"/>
      <c r="C104" s="346"/>
      <c r="D104" s="346"/>
      <c r="E104" s="346"/>
      <c r="F104" s="346"/>
      <c r="G104" s="1"/>
      <c r="H104" s="1"/>
      <c r="I104" s="1"/>
      <c r="J104" s="1"/>
      <c r="K104" s="1"/>
      <c r="L104" s="1"/>
      <c r="M104" s="1"/>
      <c r="N104" s="1"/>
      <c r="O104" s="1"/>
      <c r="P104" s="1"/>
      <c r="Q104" s="1"/>
      <c r="R104" s="1"/>
      <c r="T104" s="1125"/>
      <c r="U104" s="1125"/>
      <c r="V104" s="1125"/>
      <c r="W104" s="1125"/>
      <c r="X104" s="1125"/>
      <c r="Y104" s="1125"/>
      <c r="Z104" s="1125"/>
      <c r="AA104" s="1125"/>
      <c r="AB104" s="1125"/>
      <c r="AC104" s="1125"/>
      <c r="AD104" s="1125"/>
      <c r="AE104" s="1125"/>
      <c r="AF104" s="1125"/>
      <c r="AG104" s="1125"/>
      <c r="AH104" s="1125"/>
      <c r="AI104" s="1125"/>
      <c r="AJ104" s="1125"/>
      <c r="AK104" s="1125"/>
      <c r="AL104" s="1125"/>
      <c r="AM104" s="1125"/>
      <c r="AN104" s="1125"/>
      <c r="AO104" s="1125"/>
      <c r="AP104" s="1125"/>
    </row>
    <row r="105" spans="1:42" s="15" customFormat="1" ht="15" customHeight="1" x14ac:dyDescent="0.2">
      <c r="A105" s="346"/>
      <c r="B105" s="346"/>
      <c r="C105" s="346"/>
      <c r="D105" s="346"/>
      <c r="E105" s="346"/>
      <c r="F105" s="346"/>
      <c r="G105" s="1"/>
      <c r="H105" s="1"/>
      <c r="I105" s="1"/>
      <c r="J105" s="1"/>
      <c r="K105" s="1"/>
      <c r="L105" s="1"/>
      <c r="M105" s="1"/>
      <c r="N105" s="1"/>
      <c r="O105" s="1"/>
      <c r="P105" s="1"/>
      <c r="Q105" s="1"/>
      <c r="R105" s="1"/>
      <c r="T105" s="1125"/>
      <c r="U105" s="1125"/>
      <c r="V105" s="1125"/>
      <c r="W105" s="1125"/>
      <c r="X105" s="1125"/>
      <c r="Y105" s="1125"/>
      <c r="Z105" s="1125"/>
      <c r="AA105" s="1125"/>
      <c r="AB105" s="1125"/>
      <c r="AC105" s="1125"/>
      <c r="AD105" s="1125"/>
      <c r="AE105" s="1125"/>
      <c r="AF105" s="1125"/>
      <c r="AG105" s="1125"/>
      <c r="AH105" s="1125"/>
      <c r="AI105" s="1125"/>
      <c r="AJ105" s="1125"/>
      <c r="AK105" s="1125"/>
      <c r="AL105" s="1125"/>
      <c r="AM105" s="1125"/>
      <c r="AN105" s="1125"/>
      <c r="AO105" s="1125"/>
      <c r="AP105" s="1125"/>
    </row>
    <row r="106" spans="1:42" s="15" customFormat="1" ht="15" customHeight="1" x14ac:dyDescent="0.2">
      <c r="A106" s="346"/>
      <c r="B106" s="346"/>
      <c r="C106" s="346"/>
      <c r="D106" s="346"/>
      <c r="E106" s="346"/>
      <c r="F106" s="346"/>
      <c r="G106" s="1"/>
      <c r="H106" s="1"/>
      <c r="I106" s="1"/>
      <c r="J106" s="1"/>
      <c r="K106" s="1"/>
      <c r="L106" s="1"/>
      <c r="M106" s="1"/>
      <c r="N106" s="1"/>
      <c r="O106" s="1"/>
      <c r="P106" s="1"/>
      <c r="Q106" s="1"/>
      <c r="R106" s="1"/>
      <c r="T106" s="1125"/>
      <c r="U106" s="1125"/>
      <c r="V106" s="1125"/>
      <c r="W106" s="1125"/>
      <c r="X106" s="1125"/>
      <c r="Y106" s="1125"/>
      <c r="Z106" s="1125"/>
      <c r="AA106" s="1125"/>
      <c r="AB106" s="1125"/>
      <c r="AC106" s="1125"/>
      <c r="AD106" s="1125"/>
      <c r="AE106" s="1125"/>
      <c r="AF106" s="1125"/>
      <c r="AG106" s="1125"/>
      <c r="AH106" s="1125"/>
      <c r="AI106" s="1125"/>
      <c r="AJ106" s="1125"/>
      <c r="AK106" s="1125"/>
      <c r="AL106" s="1125"/>
      <c r="AM106" s="1125"/>
      <c r="AN106" s="1125"/>
      <c r="AO106" s="1125"/>
      <c r="AP106" s="1125"/>
    </row>
    <row r="107" spans="1:42" s="15" customFormat="1" ht="15" customHeight="1" x14ac:dyDescent="0.2">
      <c r="A107" s="346"/>
      <c r="B107" s="346"/>
      <c r="C107" s="346"/>
      <c r="D107" s="346"/>
      <c r="E107" s="346"/>
      <c r="F107" s="346"/>
      <c r="G107" s="1"/>
      <c r="H107" s="1"/>
      <c r="I107" s="1"/>
      <c r="J107" s="1"/>
      <c r="K107" s="1"/>
      <c r="L107" s="1"/>
      <c r="M107" s="1"/>
      <c r="N107" s="1"/>
      <c r="O107" s="1"/>
      <c r="P107" s="1"/>
      <c r="Q107" s="1"/>
      <c r="R107" s="1"/>
      <c r="T107" s="1125"/>
      <c r="U107" s="1125"/>
      <c r="V107" s="1125"/>
      <c r="W107" s="1125"/>
      <c r="X107" s="1125"/>
      <c r="Y107" s="1125"/>
      <c r="Z107" s="1125"/>
      <c r="AA107" s="1125"/>
      <c r="AB107" s="1125"/>
      <c r="AC107" s="1125"/>
      <c r="AD107" s="1125"/>
      <c r="AE107" s="1125"/>
      <c r="AF107" s="1125"/>
      <c r="AG107" s="1125"/>
      <c r="AH107" s="1125"/>
      <c r="AI107" s="1125"/>
      <c r="AJ107" s="1125"/>
      <c r="AK107" s="1125"/>
      <c r="AL107" s="1125"/>
      <c r="AM107" s="1125"/>
      <c r="AN107" s="1125"/>
      <c r="AO107" s="1125"/>
      <c r="AP107" s="1125"/>
    </row>
    <row r="108" spans="1:42" s="15" customFormat="1" ht="15" customHeight="1" x14ac:dyDescent="0.2">
      <c r="A108" s="346"/>
      <c r="B108" s="346"/>
      <c r="C108" s="346"/>
      <c r="D108" s="346"/>
      <c r="E108" s="346"/>
      <c r="F108" s="346"/>
      <c r="G108" s="1"/>
      <c r="H108" s="1"/>
      <c r="I108" s="1"/>
      <c r="J108" s="1"/>
      <c r="K108" s="1"/>
      <c r="L108" s="1"/>
      <c r="M108" s="1"/>
      <c r="N108" s="1"/>
      <c r="O108" s="1"/>
      <c r="P108" s="1"/>
      <c r="Q108" s="1"/>
      <c r="R108" s="1"/>
      <c r="T108" s="1125"/>
      <c r="U108" s="1125"/>
      <c r="V108" s="1125"/>
      <c r="W108" s="1125"/>
      <c r="X108" s="1125"/>
      <c r="Y108" s="1125"/>
      <c r="Z108" s="1125"/>
      <c r="AA108" s="1125"/>
      <c r="AB108" s="1125"/>
      <c r="AC108" s="1125"/>
      <c r="AD108" s="1125"/>
      <c r="AE108" s="1125"/>
      <c r="AF108" s="1125"/>
      <c r="AG108" s="1125"/>
      <c r="AH108" s="1125"/>
      <c r="AI108" s="1125"/>
      <c r="AJ108" s="1125"/>
      <c r="AK108" s="1125"/>
      <c r="AL108" s="1125"/>
      <c r="AM108" s="1125"/>
      <c r="AN108" s="1125"/>
      <c r="AO108" s="1125"/>
      <c r="AP108" s="1125"/>
    </row>
    <row r="109" spans="1:42" s="15" customFormat="1" ht="15" customHeight="1" x14ac:dyDescent="0.2">
      <c r="A109" s="346"/>
      <c r="B109" s="346"/>
      <c r="C109" s="346"/>
      <c r="D109" s="346"/>
      <c r="E109" s="346"/>
      <c r="F109" s="346"/>
      <c r="G109" s="1"/>
      <c r="H109" s="1"/>
      <c r="I109" s="1"/>
      <c r="J109" s="1"/>
      <c r="K109" s="1"/>
      <c r="L109" s="1"/>
      <c r="M109" s="1"/>
      <c r="N109" s="1"/>
      <c r="O109" s="1"/>
      <c r="P109" s="1"/>
      <c r="Q109" s="1"/>
      <c r="R109" s="1"/>
      <c r="T109" s="1125"/>
      <c r="U109" s="1125"/>
      <c r="V109" s="1125"/>
      <c r="W109" s="1125"/>
      <c r="X109" s="1125"/>
      <c r="Y109" s="1125"/>
      <c r="Z109" s="1125"/>
      <c r="AA109" s="1125"/>
      <c r="AB109" s="1125"/>
      <c r="AC109" s="1125"/>
      <c r="AD109" s="1125"/>
      <c r="AE109" s="1125"/>
      <c r="AF109" s="1125"/>
      <c r="AG109" s="1125"/>
      <c r="AH109" s="1125"/>
      <c r="AI109" s="1125"/>
      <c r="AJ109" s="1125"/>
      <c r="AK109" s="1125"/>
      <c r="AL109" s="1125"/>
      <c r="AM109" s="1125"/>
      <c r="AN109" s="1125"/>
      <c r="AO109" s="1125"/>
      <c r="AP109" s="1125"/>
    </row>
    <row r="110" spans="1:42" s="15" customFormat="1" ht="15" customHeight="1" x14ac:dyDescent="0.2">
      <c r="A110" s="346"/>
      <c r="B110" s="346"/>
      <c r="C110" s="346"/>
      <c r="D110" s="346"/>
      <c r="E110" s="346"/>
      <c r="F110" s="346"/>
      <c r="G110" s="1"/>
      <c r="H110" s="1"/>
      <c r="I110" s="1"/>
      <c r="J110" s="1"/>
      <c r="K110" s="1"/>
      <c r="L110" s="1"/>
      <c r="M110" s="1"/>
      <c r="N110" s="1"/>
      <c r="O110" s="1"/>
      <c r="P110" s="1"/>
      <c r="Q110" s="1"/>
      <c r="R110" s="1"/>
      <c r="T110" s="1125"/>
      <c r="U110" s="1125"/>
      <c r="V110" s="1125"/>
      <c r="W110" s="1125"/>
      <c r="X110" s="1125"/>
      <c r="Y110" s="1125"/>
      <c r="Z110" s="1125"/>
      <c r="AA110" s="1125"/>
      <c r="AB110" s="1125"/>
      <c r="AC110" s="1125"/>
      <c r="AD110" s="1125"/>
      <c r="AE110" s="1125"/>
      <c r="AF110" s="1125"/>
      <c r="AG110" s="1125"/>
      <c r="AH110" s="1125"/>
      <c r="AI110" s="1125"/>
      <c r="AJ110" s="1125"/>
      <c r="AK110" s="1125"/>
      <c r="AL110" s="1125"/>
      <c r="AM110" s="1125"/>
      <c r="AN110" s="1125"/>
      <c r="AO110" s="1125"/>
      <c r="AP110" s="1125"/>
    </row>
    <row r="111" spans="1:42" s="15" customFormat="1" ht="15" customHeight="1" x14ac:dyDescent="0.2">
      <c r="A111" s="346"/>
      <c r="B111" s="346"/>
      <c r="C111" s="346"/>
      <c r="D111" s="346"/>
      <c r="E111" s="346"/>
      <c r="F111" s="346"/>
      <c r="G111" s="1"/>
      <c r="H111" s="1"/>
      <c r="I111" s="1"/>
      <c r="J111" s="1"/>
      <c r="K111" s="1"/>
      <c r="L111" s="1"/>
      <c r="M111" s="1"/>
      <c r="N111" s="1"/>
      <c r="O111" s="1"/>
      <c r="P111" s="1"/>
      <c r="Q111" s="1"/>
      <c r="R111" s="1"/>
      <c r="T111" s="1125"/>
      <c r="U111" s="1125"/>
      <c r="V111" s="1125"/>
      <c r="W111" s="1125"/>
      <c r="X111" s="1125"/>
      <c r="Y111" s="1125"/>
      <c r="Z111" s="1125"/>
      <c r="AA111" s="1125"/>
      <c r="AB111" s="1125"/>
      <c r="AC111" s="1125"/>
      <c r="AD111" s="1125"/>
      <c r="AE111" s="1125"/>
      <c r="AF111" s="1125"/>
      <c r="AG111" s="1125"/>
      <c r="AH111" s="1125"/>
      <c r="AI111" s="1125"/>
      <c r="AJ111" s="1125"/>
      <c r="AK111" s="1125"/>
      <c r="AL111" s="1125"/>
      <c r="AM111" s="1125"/>
      <c r="AN111" s="1125"/>
      <c r="AO111" s="1125"/>
      <c r="AP111" s="1125"/>
    </row>
    <row r="112" spans="1:42" s="15" customFormat="1" ht="15" customHeight="1" x14ac:dyDescent="0.2">
      <c r="A112" s="346"/>
      <c r="B112" s="346"/>
      <c r="C112" s="346"/>
      <c r="D112" s="346"/>
      <c r="E112" s="346"/>
      <c r="F112" s="346"/>
      <c r="G112" s="1"/>
      <c r="H112" s="1"/>
      <c r="I112" s="1"/>
      <c r="J112" s="1"/>
      <c r="K112" s="1"/>
      <c r="L112" s="1"/>
      <c r="M112" s="1"/>
      <c r="N112" s="1"/>
      <c r="O112" s="1"/>
      <c r="P112" s="1"/>
      <c r="Q112" s="1"/>
      <c r="R112" s="1"/>
      <c r="T112" s="1125"/>
      <c r="U112" s="1125"/>
      <c r="V112" s="1125"/>
      <c r="W112" s="1125"/>
      <c r="X112" s="1125"/>
      <c r="Y112" s="1125"/>
      <c r="Z112" s="1125"/>
      <c r="AA112" s="1125"/>
      <c r="AB112" s="1125"/>
      <c r="AC112" s="1125"/>
      <c r="AD112" s="1125"/>
      <c r="AE112" s="1125"/>
      <c r="AF112" s="1125"/>
      <c r="AG112" s="1125"/>
      <c r="AH112" s="1125"/>
      <c r="AI112" s="1125"/>
      <c r="AJ112" s="1125"/>
      <c r="AK112" s="1125"/>
      <c r="AL112" s="1125"/>
      <c r="AM112" s="1125"/>
      <c r="AN112" s="1125"/>
      <c r="AO112" s="1125"/>
      <c r="AP112" s="1125"/>
    </row>
    <row r="113" spans="1:42" s="15" customFormat="1" ht="15" customHeight="1" x14ac:dyDescent="0.2">
      <c r="A113" s="346"/>
      <c r="B113" s="346"/>
      <c r="C113" s="346"/>
      <c r="D113" s="346"/>
      <c r="E113" s="346"/>
      <c r="F113" s="346"/>
      <c r="G113" s="1"/>
      <c r="H113" s="1"/>
      <c r="I113" s="1"/>
      <c r="J113" s="1"/>
      <c r="K113" s="1"/>
      <c r="L113" s="1"/>
      <c r="M113" s="1"/>
      <c r="N113" s="1"/>
      <c r="O113" s="1"/>
      <c r="P113" s="1"/>
      <c r="Q113" s="1"/>
      <c r="R113" s="1"/>
      <c r="T113" s="1125"/>
      <c r="U113" s="1125"/>
      <c r="V113" s="1125"/>
      <c r="W113" s="1125"/>
      <c r="X113" s="1125"/>
      <c r="Y113" s="1125"/>
      <c r="Z113" s="1125"/>
      <c r="AA113" s="1125"/>
      <c r="AB113" s="1125"/>
      <c r="AC113" s="1125"/>
      <c r="AD113" s="1125"/>
      <c r="AE113" s="1125"/>
      <c r="AF113" s="1125"/>
      <c r="AG113" s="1125"/>
      <c r="AH113" s="1125"/>
      <c r="AI113" s="1125"/>
      <c r="AJ113" s="1125"/>
      <c r="AK113" s="1125"/>
      <c r="AL113" s="1125"/>
      <c r="AM113" s="1125"/>
      <c r="AN113" s="1125"/>
      <c r="AO113" s="1125"/>
      <c r="AP113" s="1125"/>
    </row>
    <row r="114" spans="1:42" s="15" customFormat="1" ht="15" customHeight="1" x14ac:dyDescent="0.2">
      <c r="A114" s="346"/>
      <c r="B114" s="346"/>
      <c r="C114" s="346"/>
      <c r="D114" s="346"/>
      <c r="E114" s="346"/>
      <c r="F114" s="346"/>
      <c r="G114" s="1"/>
      <c r="H114" s="1"/>
      <c r="I114" s="1"/>
      <c r="J114" s="1"/>
      <c r="K114" s="1"/>
      <c r="L114" s="1"/>
      <c r="M114" s="1"/>
      <c r="N114" s="1"/>
      <c r="O114" s="1"/>
      <c r="P114" s="1"/>
      <c r="Q114" s="1"/>
      <c r="R114" s="1"/>
      <c r="T114" s="1125"/>
      <c r="U114" s="1125"/>
      <c r="V114" s="1125"/>
      <c r="W114" s="1125"/>
      <c r="X114" s="1125"/>
      <c r="Y114" s="1125"/>
      <c r="Z114" s="1125"/>
      <c r="AA114" s="1125"/>
      <c r="AB114" s="1125"/>
      <c r="AC114" s="1125"/>
      <c r="AD114" s="1125"/>
      <c r="AE114" s="1125"/>
      <c r="AF114" s="1125"/>
      <c r="AG114" s="1125"/>
      <c r="AH114" s="1125"/>
      <c r="AI114" s="1125"/>
      <c r="AJ114" s="1125"/>
      <c r="AK114" s="1125"/>
      <c r="AL114" s="1125"/>
      <c r="AM114" s="1125"/>
      <c r="AN114" s="1125"/>
      <c r="AO114" s="1125"/>
      <c r="AP114" s="1125"/>
    </row>
    <row r="115" spans="1:42" s="15" customFormat="1" ht="15" customHeight="1" x14ac:dyDescent="0.2">
      <c r="A115" s="346"/>
      <c r="B115" s="346"/>
      <c r="C115" s="346"/>
      <c r="D115" s="346"/>
      <c r="E115" s="346"/>
      <c r="F115" s="346"/>
      <c r="G115" s="1"/>
      <c r="H115" s="1"/>
      <c r="I115" s="1"/>
      <c r="J115" s="1"/>
      <c r="K115" s="1"/>
      <c r="L115" s="1"/>
      <c r="M115" s="1"/>
      <c r="N115" s="1"/>
      <c r="O115" s="1"/>
      <c r="P115" s="1"/>
      <c r="Q115" s="1"/>
      <c r="R115" s="1"/>
      <c r="T115" s="1125"/>
      <c r="U115" s="1125"/>
      <c r="V115" s="1125"/>
      <c r="W115" s="1125"/>
      <c r="X115" s="1125"/>
      <c r="Y115" s="1125"/>
      <c r="Z115" s="1125"/>
      <c r="AA115" s="1125"/>
      <c r="AB115" s="1125"/>
      <c r="AC115" s="1125"/>
      <c r="AD115" s="1125"/>
      <c r="AE115" s="1125"/>
      <c r="AF115" s="1125"/>
      <c r="AG115" s="1125"/>
      <c r="AH115" s="1125"/>
      <c r="AI115" s="1125"/>
      <c r="AJ115" s="1125"/>
      <c r="AK115" s="1125"/>
      <c r="AL115" s="1125"/>
      <c r="AM115" s="1125"/>
      <c r="AN115" s="1125"/>
      <c r="AO115" s="1125"/>
      <c r="AP115" s="1125"/>
    </row>
    <row r="116" spans="1:42" s="15" customFormat="1" ht="15" customHeight="1" x14ac:dyDescent="0.2">
      <c r="A116" s="346"/>
      <c r="B116" s="346"/>
      <c r="C116" s="346"/>
      <c r="D116" s="346"/>
      <c r="E116" s="346"/>
      <c r="F116" s="346"/>
      <c r="G116" s="1"/>
      <c r="H116" s="1"/>
      <c r="I116" s="1"/>
      <c r="J116" s="1"/>
      <c r="K116" s="1"/>
      <c r="L116" s="1"/>
      <c r="M116" s="1"/>
      <c r="N116" s="1"/>
      <c r="O116" s="1"/>
      <c r="P116" s="1"/>
      <c r="Q116" s="1"/>
      <c r="R116" s="1"/>
      <c r="T116" s="1125"/>
      <c r="U116" s="1125"/>
      <c r="V116" s="1125"/>
      <c r="W116" s="1125"/>
      <c r="X116" s="1125"/>
      <c r="Y116" s="1125"/>
      <c r="Z116" s="1125"/>
      <c r="AA116" s="1125"/>
      <c r="AB116" s="1125"/>
      <c r="AC116" s="1125"/>
      <c r="AD116" s="1125"/>
      <c r="AE116" s="1125"/>
      <c r="AF116" s="1125"/>
      <c r="AG116" s="1125"/>
      <c r="AH116" s="1125"/>
      <c r="AI116" s="1125"/>
      <c r="AJ116" s="1125"/>
      <c r="AK116" s="1125"/>
      <c r="AL116" s="1125"/>
      <c r="AM116" s="1125"/>
      <c r="AN116" s="1125"/>
      <c r="AO116" s="1125"/>
      <c r="AP116" s="1125"/>
    </row>
    <row r="117" spans="1:42" s="15" customFormat="1" ht="15" customHeight="1" x14ac:dyDescent="0.2">
      <c r="A117" s="346"/>
      <c r="B117" s="346"/>
      <c r="C117" s="346"/>
      <c r="D117" s="346"/>
      <c r="E117" s="346"/>
      <c r="F117" s="346"/>
      <c r="G117" s="1"/>
      <c r="H117" s="1"/>
      <c r="I117" s="1"/>
      <c r="J117" s="1"/>
      <c r="K117" s="1"/>
      <c r="L117" s="1"/>
      <c r="M117" s="1"/>
      <c r="N117" s="1"/>
      <c r="O117" s="1"/>
      <c r="P117" s="1"/>
      <c r="Q117" s="1"/>
      <c r="R117" s="1"/>
      <c r="T117" s="1125"/>
      <c r="U117" s="1125"/>
      <c r="V117" s="1125"/>
      <c r="W117" s="1125"/>
      <c r="X117" s="1125"/>
      <c r="Y117" s="1125"/>
      <c r="Z117" s="1125"/>
      <c r="AA117" s="1125"/>
      <c r="AB117" s="1125"/>
      <c r="AC117" s="1125"/>
      <c r="AD117" s="1125"/>
      <c r="AE117" s="1125"/>
      <c r="AF117" s="1125"/>
      <c r="AG117" s="1125"/>
      <c r="AH117" s="1125"/>
      <c r="AI117" s="1125"/>
      <c r="AJ117" s="1125"/>
      <c r="AK117" s="1125"/>
      <c r="AL117" s="1125"/>
      <c r="AM117" s="1125"/>
      <c r="AN117" s="1125"/>
      <c r="AO117" s="1125"/>
      <c r="AP117" s="1125"/>
    </row>
    <row r="118" spans="1:42" s="15" customFormat="1" ht="15" customHeight="1" x14ac:dyDescent="0.2">
      <c r="A118" s="346"/>
      <c r="B118" s="346"/>
      <c r="C118" s="346"/>
      <c r="D118" s="346"/>
      <c r="E118" s="346"/>
      <c r="F118" s="346"/>
      <c r="G118" s="1"/>
      <c r="H118" s="1"/>
      <c r="I118" s="1"/>
      <c r="J118" s="1"/>
      <c r="K118" s="1"/>
      <c r="L118" s="1"/>
      <c r="M118" s="1"/>
      <c r="N118" s="1"/>
      <c r="O118" s="1"/>
      <c r="P118" s="1"/>
      <c r="Q118" s="1"/>
      <c r="R118" s="1"/>
      <c r="T118" s="1125"/>
      <c r="U118" s="1125"/>
      <c r="V118" s="1125"/>
      <c r="W118" s="1125"/>
      <c r="X118" s="1125"/>
      <c r="Y118" s="1125"/>
      <c r="Z118" s="1125"/>
      <c r="AA118" s="1125"/>
      <c r="AB118" s="1125"/>
      <c r="AC118" s="1125"/>
      <c r="AD118" s="1125"/>
      <c r="AE118" s="1125"/>
      <c r="AF118" s="1125"/>
      <c r="AG118" s="1125"/>
      <c r="AH118" s="1125"/>
      <c r="AI118" s="1125"/>
      <c r="AJ118" s="1125"/>
      <c r="AK118" s="1125"/>
      <c r="AL118" s="1125"/>
      <c r="AM118" s="1125"/>
      <c r="AN118" s="1125"/>
      <c r="AO118" s="1125"/>
      <c r="AP118" s="1125"/>
    </row>
    <row r="119" spans="1:42" s="15" customFormat="1" ht="15" customHeight="1" x14ac:dyDescent="0.2">
      <c r="A119" s="346"/>
      <c r="B119" s="346"/>
      <c r="C119" s="346"/>
      <c r="D119" s="346"/>
      <c r="E119" s="346"/>
      <c r="F119" s="346"/>
      <c r="G119" s="1"/>
      <c r="H119" s="1"/>
      <c r="I119" s="1"/>
      <c r="J119" s="1"/>
      <c r="K119" s="1"/>
      <c r="L119" s="1"/>
      <c r="M119" s="1"/>
      <c r="N119" s="1"/>
      <c r="O119" s="1"/>
      <c r="P119" s="1"/>
      <c r="Q119" s="1"/>
      <c r="R119" s="1"/>
      <c r="T119" s="1125"/>
      <c r="U119" s="1125"/>
      <c r="V119" s="1125"/>
      <c r="W119" s="1125"/>
      <c r="X119" s="1125"/>
      <c r="Y119" s="1125"/>
      <c r="Z119" s="1125"/>
      <c r="AA119" s="1125"/>
      <c r="AB119" s="1125"/>
      <c r="AC119" s="1125"/>
      <c r="AD119" s="1125"/>
      <c r="AE119" s="1125"/>
      <c r="AF119" s="1125"/>
      <c r="AG119" s="1125"/>
      <c r="AH119" s="1125"/>
      <c r="AI119" s="1125"/>
      <c r="AJ119" s="1125"/>
      <c r="AK119" s="1125"/>
      <c r="AL119" s="1125"/>
      <c r="AM119" s="1125"/>
      <c r="AN119" s="1125"/>
      <c r="AO119" s="1125"/>
      <c r="AP119" s="1125"/>
    </row>
    <row r="120" spans="1:42" s="15" customFormat="1" ht="15" customHeight="1" x14ac:dyDescent="0.2">
      <c r="A120" s="346"/>
      <c r="B120" s="346"/>
      <c r="C120" s="346"/>
      <c r="D120" s="346"/>
      <c r="E120" s="346"/>
      <c r="F120" s="346"/>
      <c r="G120" s="1"/>
      <c r="H120" s="1"/>
      <c r="I120" s="1"/>
      <c r="J120" s="1"/>
      <c r="K120" s="1"/>
      <c r="L120" s="1"/>
      <c r="M120" s="1"/>
      <c r="N120" s="1"/>
      <c r="O120" s="1"/>
      <c r="P120" s="1"/>
      <c r="Q120" s="1"/>
      <c r="R120" s="1"/>
      <c r="T120" s="1125"/>
      <c r="U120" s="1125"/>
      <c r="V120" s="1125"/>
      <c r="W120" s="1125"/>
      <c r="X120" s="1125"/>
      <c r="Y120" s="1125"/>
      <c r="Z120" s="1125"/>
      <c r="AA120" s="1125"/>
      <c r="AB120" s="1125"/>
      <c r="AC120" s="1125"/>
      <c r="AD120" s="1125"/>
      <c r="AE120" s="1125"/>
      <c r="AF120" s="1125"/>
      <c r="AG120" s="1125"/>
      <c r="AH120" s="1125"/>
      <c r="AI120" s="1125"/>
      <c r="AJ120" s="1125"/>
      <c r="AK120" s="1125"/>
      <c r="AL120" s="1125"/>
      <c r="AM120" s="1125"/>
      <c r="AN120" s="1125"/>
      <c r="AO120" s="1125"/>
      <c r="AP120" s="1125"/>
    </row>
    <row r="121" spans="1:42" s="15" customFormat="1" ht="15" customHeight="1" x14ac:dyDescent="0.2">
      <c r="A121" s="346"/>
      <c r="B121" s="346"/>
      <c r="C121" s="346"/>
      <c r="D121" s="346"/>
      <c r="E121" s="346"/>
      <c r="F121" s="346"/>
      <c r="G121" s="1"/>
      <c r="H121" s="1"/>
      <c r="I121" s="1"/>
      <c r="J121" s="1"/>
      <c r="K121" s="1"/>
      <c r="L121" s="1"/>
      <c r="M121" s="1"/>
      <c r="N121" s="1"/>
      <c r="O121" s="1"/>
      <c r="P121" s="1"/>
      <c r="Q121" s="1"/>
      <c r="R121" s="1"/>
      <c r="T121" s="1125"/>
      <c r="U121" s="1125"/>
      <c r="V121" s="1125"/>
      <c r="W121" s="1125"/>
      <c r="X121" s="1125"/>
      <c r="Y121" s="1125"/>
      <c r="Z121" s="1125"/>
      <c r="AA121" s="1125"/>
      <c r="AB121" s="1125"/>
      <c r="AC121" s="1125"/>
      <c r="AD121" s="1125"/>
      <c r="AE121" s="1125"/>
      <c r="AF121" s="1125"/>
      <c r="AG121" s="1125"/>
      <c r="AH121" s="1125"/>
      <c r="AI121" s="1125"/>
      <c r="AJ121" s="1125"/>
      <c r="AK121" s="1125"/>
      <c r="AL121" s="1125"/>
      <c r="AM121" s="1125"/>
      <c r="AN121" s="1125"/>
      <c r="AO121" s="1125"/>
      <c r="AP121" s="1125"/>
    </row>
    <row r="122" spans="1:42" s="15" customFormat="1" ht="15" customHeight="1" x14ac:dyDescent="0.2">
      <c r="A122" s="346"/>
      <c r="B122" s="346"/>
      <c r="C122" s="346"/>
      <c r="D122" s="346"/>
      <c r="E122" s="346"/>
      <c r="F122" s="346"/>
      <c r="G122" s="1"/>
      <c r="H122" s="1"/>
      <c r="I122" s="1"/>
      <c r="J122" s="1"/>
      <c r="K122" s="1"/>
      <c r="L122" s="1"/>
      <c r="M122" s="1"/>
      <c r="N122" s="1"/>
      <c r="O122" s="1"/>
      <c r="P122" s="1"/>
      <c r="Q122" s="1"/>
      <c r="R122" s="1"/>
      <c r="T122" s="1125"/>
      <c r="U122" s="1125"/>
      <c r="V122" s="1125"/>
      <c r="W122" s="1125"/>
      <c r="X122" s="1125"/>
      <c r="Y122" s="1125"/>
      <c r="Z122" s="1125"/>
      <c r="AA122" s="1125"/>
      <c r="AB122" s="1125"/>
      <c r="AC122" s="1125"/>
      <c r="AD122" s="1125"/>
      <c r="AE122" s="1125"/>
      <c r="AF122" s="1125"/>
      <c r="AG122" s="1125"/>
      <c r="AH122" s="1125"/>
      <c r="AI122" s="1125"/>
      <c r="AJ122" s="1125"/>
      <c r="AK122" s="1125"/>
      <c r="AL122" s="1125"/>
      <c r="AM122" s="1125"/>
      <c r="AN122" s="1125"/>
      <c r="AO122" s="1125"/>
      <c r="AP122" s="1125"/>
    </row>
    <row r="123" spans="1:42" s="15" customFormat="1" ht="15" customHeight="1" x14ac:dyDescent="0.2">
      <c r="A123" s="346"/>
      <c r="B123" s="346"/>
      <c r="C123" s="346"/>
      <c r="D123" s="346"/>
      <c r="E123" s="346"/>
      <c r="F123" s="346"/>
      <c r="G123" s="1"/>
      <c r="H123" s="1"/>
      <c r="I123" s="1"/>
      <c r="J123" s="1"/>
      <c r="K123" s="1"/>
      <c r="L123" s="1"/>
      <c r="M123" s="1"/>
      <c r="N123" s="1"/>
      <c r="O123" s="1"/>
      <c r="P123" s="1"/>
      <c r="Q123" s="1"/>
      <c r="R123" s="1"/>
      <c r="T123" s="1125"/>
      <c r="U123" s="1125"/>
      <c r="V123" s="1125"/>
      <c r="W123" s="1125"/>
      <c r="X123" s="1125"/>
      <c r="Y123" s="1125"/>
      <c r="Z123" s="1125"/>
      <c r="AA123" s="1125"/>
      <c r="AB123" s="1125"/>
      <c r="AC123" s="1125"/>
      <c r="AD123" s="1125"/>
      <c r="AE123" s="1125"/>
      <c r="AF123" s="1125"/>
      <c r="AG123" s="1125"/>
      <c r="AH123" s="1125"/>
      <c r="AI123" s="1125"/>
      <c r="AJ123" s="1125"/>
      <c r="AK123" s="1125"/>
      <c r="AL123" s="1125"/>
      <c r="AM123" s="1125"/>
      <c r="AN123" s="1125"/>
      <c r="AO123" s="1125"/>
      <c r="AP123" s="1125"/>
    </row>
    <row r="124" spans="1:42" s="15" customFormat="1" ht="15" customHeight="1" x14ac:dyDescent="0.2">
      <c r="A124" s="346"/>
      <c r="B124" s="346"/>
      <c r="C124" s="346"/>
      <c r="D124" s="346"/>
      <c r="E124" s="346"/>
      <c r="F124" s="346"/>
      <c r="G124" s="1"/>
      <c r="H124" s="1"/>
      <c r="I124" s="1"/>
      <c r="J124" s="1"/>
      <c r="K124" s="1"/>
      <c r="L124" s="1"/>
      <c r="M124" s="1"/>
      <c r="N124" s="1"/>
      <c r="O124" s="1"/>
      <c r="P124" s="1"/>
      <c r="Q124" s="1"/>
      <c r="R124" s="1"/>
      <c r="T124" s="1125"/>
      <c r="U124" s="1125"/>
      <c r="V124" s="1125"/>
      <c r="W124" s="1125"/>
      <c r="X124" s="1125"/>
      <c r="Y124" s="1125"/>
      <c r="Z124" s="1125"/>
      <c r="AA124" s="1125"/>
      <c r="AB124" s="1125"/>
      <c r="AC124" s="1125"/>
      <c r="AD124" s="1125"/>
      <c r="AE124" s="1125"/>
      <c r="AF124" s="1125"/>
      <c r="AG124" s="1125"/>
      <c r="AH124" s="1125"/>
      <c r="AI124" s="1125"/>
      <c r="AJ124" s="1125"/>
      <c r="AK124" s="1125"/>
      <c r="AL124" s="1125"/>
      <c r="AM124" s="1125"/>
      <c r="AN124" s="1125"/>
      <c r="AO124" s="1125"/>
      <c r="AP124" s="1125"/>
    </row>
    <row r="125" spans="1:42" s="15" customFormat="1" ht="15" customHeight="1" x14ac:dyDescent="0.2">
      <c r="A125" s="346"/>
      <c r="B125" s="346"/>
      <c r="C125" s="346"/>
      <c r="D125" s="346"/>
      <c r="E125" s="346"/>
      <c r="F125" s="346"/>
      <c r="G125" s="1"/>
      <c r="H125" s="1"/>
      <c r="I125" s="1"/>
      <c r="J125" s="1"/>
      <c r="K125" s="1"/>
      <c r="L125" s="1"/>
      <c r="M125" s="1"/>
      <c r="N125" s="1"/>
      <c r="O125" s="1"/>
      <c r="P125" s="1"/>
      <c r="Q125" s="1"/>
      <c r="R125" s="1"/>
      <c r="T125" s="1125"/>
      <c r="U125" s="1125"/>
      <c r="V125" s="1125"/>
      <c r="W125" s="1125"/>
      <c r="X125" s="1125"/>
      <c r="Y125" s="1125"/>
      <c r="Z125" s="1125"/>
      <c r="AA125" s="1125"/>
      <c r="AB125" s="1125"/>
      <c r="AC125" s="1125"/>
      <c r="AD125" s="1125"/>
      <c r="AE125" s="1125"/>
      <c r="AF125" s="1125"/>
      <c r="AG125" s="1125"/>
      <c r="AH125" s="1125"/>
      <c r="AI125" s="1125"/>
      <c r="AJ125" s="1125"/>
      <c r="AK125" s="1125"/>
      <c r="AL125" s="1125"/>
      <c r="AM125" s="1125"/>
      <c r="AN125" s="1125"/>
      <c r="AO125" s="1125"/>
      <c r="AP125" s="1125"/>
    </row>
    <row r="126" spans="1:42" s="15" customFormat="1" ht="15" customHeight="1" x14ac:dyDescent="0.2">
      <c r="A126" s="346"/>
      <c r="B126" s="346"/>
      <c r="C126" s="346"/>
      <c r="D126" s="346"/>
      <c r="E126" s="346"/>
      <c r="F126" s="346"/>
      <c r="G126" s="1"/>
      <c r="H126" s="1"/>
      <c r="I126" s="1"/>
      <c r="J126" s="1"/>
      <c r="K126" s="1"/>
      <c r="L126" s="1"/>
      <c r="M126" s="1"/>
      <c r="N126" s="1"/>
      <c r="O126" s="1"/>
      <c r="P126" s="1"/>
      <c r="Q126" s="1"/>
      <c r="R126" s="1"/>
      <c r="T126" s="1125"/>
      <c r="U126" s="1125"/>
      <c r="V126" s="1125"/>
      <c r="W126" s="1125"/>
      <c r="X126" s="1125"/>
      <c r="Y126" s="1125"/>
      <c r="Z126" s="1125"/>
      <c r="AA126" s="1125"/>
      <c r="AB126" s="1125"/>
      <c r="AC126" s="1125"/>
      <c r="AD126" s="1125"/>
      <c r="AE126" s="1125"/>
      <c r="AF126" s="1125"/>
      <c r="AG126" s="1125"/>
      <c r="AH126" s="1125"/>
      <c r="AI126" s="1125"/>
      <c r="AJ126" s="1125"/>
      <c r="AK126" s="1125"/>
      <c r="AL126" s="1125"/>
      <c r="AM126" s="1125"/>
      <c r="AN126" s="1125"/>
      <c r="AO126" s="1125"/>
      <c r="AP126" s="1125"/>
    </row>
    <row r="127" spans="1:42" s="15" customFormat="1" ht="15" customHeight="1" x14ac:dyDescent="0.2">
      <c r="A127" s="346"/>
      <c r="B127" s="346"/>
      <c r="C127" s="346"/>
      <c r="D127" s="346"/>
      <c r="E127" s="346"/>
      <c r="F127" s="346"/>
      <c r="G127" s="1"/>
      <c r="H127" s="1"/>
      <c r="I127" s="1"/>
      <c r="J127" s="1"/>
      <c r="K127" s="1"/>
      <c r="L127" s="1"/>
      <c r="M127" s="1"/>
      <c r="N127" s="1"/>
      <c r="O127" s="1"/>
      <c r="P127" s="1"/>
      <c r="Q127" s="1"/>
      <c r="R127" s="1"/>
      <c r="T127" s="1125"/>
      <c r="U127" s="1125"/>
      <c r="V127" s="1125"/>
      <c r="W127" s="1125"/>
      <c r="X127" s="1125"/>
      <c r="Y127" s="1125"/>
      <c r="Z127" s="1125"/>
      <c r="AA127" s="1125"/>
      <c r="AB127" s="1125"/>
      <c r="AC127" s="1125"/>
      <c r="AD127" s="1125"/>
      <c r="AE127" s="1125"/>
      <c r="AF127" s="1125"/>
      <c r="AG127" s="1125"/>
      <c r="AH127" s="1125"/>
      <c r="AI127" s="1125"/>
      <c r="AJ127" s="1125"/>
      <c r="AK127" s="1125"/>
      <c r="AL127" s="1125"/>
      <c r="AM127" s="1125"/>
      <c r="AN127" s="1125"/>
      <c r="AO127" s="1125"/>
      <c r="AP127" s="1125"/>
    </row>
    <row r="128" spans="1:42" s="15" customFormat="1" ht="15" customHeight="1" x14ac:dyDescent="0.2">
      <c r="A128" s="346"/>
      <c r="B128" s="346"/>
      <c r="C128" s="346"/>
      <c r="D128" s="346"/>
      <c r="E128" s="346"/>
      <c r="F128" s="346"/>
      <c r="G128" s="1"/>
      <c r="H128" s="1"/>
      <c r="I128" s="1"/>
      <c r="J128" s="1"/>
      <c r="K128" s="1"/>
      <c r="L128" s="1"/>
      <c r="M128" s="1"/>
      <c r="N128" s="1"/>
      <c r="O128" s="1"/>
      <c r="P128" s="1"/>
      <c r="Q128" s="1"/>
      <c r="R128" s="1"/>
      <c r="T128" s="1125"/>
      <c r="U128" s="1125"/>
      <c r="V128" s="1125"/>
      <c r="W128" s="1125"/>
      <c r="X128" s="1125"/>
      <c r="Y128" s="1125"/>
      <c r="Z128" s="1125"/>
      <c r="AA128" s="1125"/>
      <c r="AB128" s="1125"/>
      <c r="AC128" s="1125"/>
      <c r="AD128" s="1125"/>
      <c r="AE128" s="1125"/>
      <c r="AF128" s="1125"/>
      <c r="AG128" s="1125"/>
      <c r="AH128" s="1125"/>
      <c r="AI128" s="1125"/>
      <c r="AJ128" s="1125"/>
      <c r="AK128" s="1125"/>
      <c r="AL128" s="1125"/>
      <c r="AM128" s="1125"/>
      <c r="AN128" s="1125"/>
      <c r="AO128" s="1125"/>
      <c r="AP128" s="1125"/>
    </row>
    <row r="129" spans="1:42" s="15" customFormat="1" ht="15" customHeight="1" x14ac:dyDescent="0.2">
      <c r="A129" s="346"/>
      <c r="B129" s="346"/>
      <c r="C129" s="346"/>
      <c r="D129" s="346"/>
      <c r="E129" s="346"/>
      <c r="F129" s="346"/>
      <c r="G129" s="1"/>
      <c r="H129" s="1"/>
      <c r="I129" s="1"/>
      <c r="J129" s="1"/>
      <c r="K129" s="1"/>
      <c r="L129" s="1"/>
      <c r="M129" s="1"/>
      <c r="N129" s="1"/>
      <c r="O129" s="1"/>
      <c r="P129" s="1"/>
      <c r="Q129" s="1"/>
      <c r="R129" s="1"/>
      <c r="T129" s="1125"/>
      <c r="U129" s="1125"/>
      <c r="V129" s="1125"/>
      <c r="W129" s="1125"/>
      <c r="X129" s="1125"/>
      <c r="Y129" s="1125"/>
      <c r="Z129" s="1125"/>
      <c r="AA129" s="1125"/>
      <c r="AB129" s="1125"/>
      <c r="AC129" s="1125"/>
      <c r="AD129" s="1125"/>
      <c r="AE129" s="1125"/>
      <c r="AF129" s="1125"/>
      <c r="AG129" s="1125"/>
      <c r="AH129" s="1125"/>
      <c r="AI129" s="1125"/>
      <c r="AJ129" s="1125"/>
      <c r="AK129" s="1125"/>
      <c r="AL129" s="1125"/>
      <c r="AM129" s="1125"/>
      <c r="AN129" s="1125"/>
      <c r="AO129" s="1125"/>
      <c r="AP129" s="1125"/>
    </row>
    <row r="130" spans="1:42" s="15" customFormat="1" ht="15" customHeight="1" x14ac:dyDescent="0.2">
      <c r="A130" s="346"/>
      <c r="B130" s="346"/>
      <c r="C130" s="346"/>
      <c r="D130" s="346"/>
      <c r="E130" s="346"/>
      <c r="F130" s="346"/>
      <c r="G130" s="1"/>
      <c r="H130" s="1"/>
      <c r="I130" s="1"/>
      <c r="J130" s="1"/>
      <c r="K130" s="1"/>
      <c r="L130" s="1"/>
      <c r="M130" s="1"/>
      <c r="N130" s="1"/>
      <c r="O130" s="1"/>
      <c r="P130" s="1"/>
      <c r="Q130" s="1"/>
      <c r="R130" s="1"/>
      <c r="T130" s="1125"/>
      <c r="U130" s="1125"/>
      <c r="V130" s="1125"/>
      <c r="W130" s="1125"/>
      <c r="X130" s="1125"/>
      <c r="Y130" s="1125"/>
      <c r="Z130" s="1125"/>
      <c r="AA130" s="1125"/>
      <c r="AB130" s="1125"/>
      <c r="AC130" s="1125"/>
      <c r="AD130" s="1125"/>
      <c r="AE130" s="1125"/>
      <c r="AF130" s="1125"/>
      <c r="AG130" s="1125"/>
      <c r="AH130" s="1125"/>
      <c r="AI130" s="1125"/>
      <c r="AJ130" s="1125"/>
      <c r="AK130" s="1125"/>
      <c r="AL130" s="1125"/>
      <c r="AM130" s="1125"/>
      <c r="AN130" s="1125"/>
      <c r="AO130" s="1125"/>
      <c r="AP130" s="1125"/>
    </row>
    <row r="131" spans="1:42" s="15" customFormat="1" ht="15" customHeight="1" x14ac:dyDescent="0.2">
      <c r="A131" s="346"/>
      <c r="B131" s="346"/>
      <c r="C131" s="346"/>
      <c r="D131" s="346"/>
      <c r="E131" s="346"/>
      <c r="F131" s="346"/>
      <c r="G131" s="1"/>
      <c r="H131" s="1"/>
      <c r="I131" s="1"/>
      <c r="J131" s="1"/>
      <c r="K131" s="1"/>
      <c r="L131" s="1"/>
      <c r="M131" s="1"/>
      <c r="N131" s="1"/>
      <c r="O131" s="1"/>
      <c r="P131" s="1"/>
      <c r="Q131" s="1"/>
      <c r="R131" s="1"/>
      <c r="T131" s="1125"/>
      <c r="U131" s="1125"/>
      <c r="V131" s="1125"/>
      <c r="W131" s="1125"/>
      <c r="X131" s="1125"/>
      <c r="Y131" s="1125"/>
      <c r="Z131" s="1125"/>
      <c r="AA131" s="1125"/>
      <c r="AB131" s="1125"/>
      <c r="AC131" s="1125"/>
      <c r="AD131" s="1125"/>
      <c r="AE131" s="1125"/>
      <c r="AF131" s="1125"/>
      <c r="AG131" s="1125"/>
      <c r="AH131" s="1125"/>
      <c r="AI131" s="1125"/>
      <c r="AJ131" s="1125"/>
      <c r="AK131" s="1125"/>
      <c r="AL131" s="1125"/>
      <c r="AM131" s="1125"/>
      <c r="AN131" s="1125"/>
      <c r="AO131" s="1125"/>
      <c r="AP131" s="1125"/>
    </row>
    <row r="132" spans="1:42" s="15" customFormat="1" ht="15" customHeight="1" x14ac:dyDescent="0.2">
      <c r="A132" s="346"/>
      <c r="B132" s="346"/>
      <c r="C132" s="346"/>
      <c r="D132" s="346"/>
      <c r="E132" s="346"/>
      <c r="F132" s="346"/>
      <c r="G132" s="1"/>
      <c r="H132" s="1"/>
      <c r="I132" s="1"/>
      <c r="J132" s="1"/>
      <c r="K132" s="1"/>
      <c r="L132" s="1"/>
      <c r="M132" s="1"/>
      <c r="N132" s="1"/>
      <c r="O132" s="1"/>
      <c r="P132" s="1"/>
      <c r="Q132" s="1"/>
      <c r="R132" s="1"/>
      <c r="T132" s="1125"/>
      <c r="U132" s="1125"/>
      <c r="V132" s="1125"/>
      <c r="W132" s="1125"/>
      <c r="X132" s="1125"/>
      <c r="Y132" s="1125"/>
      <c r="Z132" s="1125"/>
      <c r="AA132" s="1125"/>
      <c r="AB132" s="1125"/>
      <c r="AC132" s="1125"/>
      <c r="AD132" s="1125"/>
      <c r="AE132" s="1125"/>
      <c r="AF132" s="1125"/>
      <c r="AG132" s="1125"/>
      <c r="AH132" s="1125"/>
      <c r="AI132" s="1125"/>
      <c r="AJ132" s="1125"/>
      <c r="AK132" s="1125"/>
      <c r="AL132" s="1125"/>
      <c r="AM132" s="1125"/>
      <c r="AN132" s="1125"/>
      <c r="AO132" s="1125"/>
      <c r="AP132" s="1125"/>
    </row>
    <row r="133" spans="1:42" s="15" customFormat="1" ht="15" customHeight="1" x14ac:dyDescent="0.2">
      <c r="A133" s="940"/>
      <c r="B133" s="940"/>
      <c r="C133" s="940"/>
      <c r="D133" s="940"/>
      <c r="E133" s="940"/>
      <c r="F133" s="940"/>
      <c r="G133" s="940"/>
      <c r="H133" s="940"/>
      <c r="I133" s="940"/>
      <c r="J133" s="940"/>
      <c r="K133" s="940"/>
      <c r="L133" s="940"/>
      <c r="M133" s="940"/>
      <c r="N133" s="940"/>
      <c r="O133" s="940"/>
      <c r="P133" s="940"/>
      <c r="Q133" s="940"/>
      <c r="R133" s="940"/>
      <c r="T133" s="1125"/>
      <c r="U133" s="1125"/>
      <c r="V133" s="1125"/>
      <c r="W133" s="1125"/>
      <c r="X133" s="1125"/>
      <c r="Y133" s="1125"/>
      <c r="Z133" s="1125"/>
      <c r="AA133" s="1125"/>
      <c r="AB133" s="1125"/>
      <c r="AC133" s="1125"/>
      <c r="AD133" s="1125"/>
      <c r="AE133" s="1125"/>
      <c r="AF133" s="1125"/>
      <c r="AG133" s="1125"/>
      <c r="AH133" s="1125"/>
      <c r="AI133" s="1125"/>
      <c r="AJ133" s="1125"/>
      <c r="AK133" s="1125"/>
      <c r="AL133" s="1125"/>
      <c r="AM133" s="1125"/>
      <c r="AN133" s="1125"/>
      <c r="AO133" s="1125"/>
      <c r="AP133" s="1125"/>
    </row>
    <row r="134" spans="1:42" s="15" customFormat="1" ht="21.75" customHeight="1" x14ac:dyDescent="0.2">
      <c r="A134" s="2156" t="s">
        <v>5</v>
      </c>
      <c r="B134" s="2156"/>
      <c r="C134" s="2156"/>
      <c r="D134" s="2156"/>
      <c r="E134" s="2156"/>
      <c r="F134" s="2156"/>
      <c r="G134" s="346"/>
      <c r="H134" s="346"/>
      <c r="I134" s="346"/>
      <c r="J134" s="346"/>
      <c r="K134" s="346"/>
      <c r="L134" s="346"/>
      <c r="M134" s="346"/>
      <c r="N134" s="346"/>
      <c r="O134" s="346"/>
      <c r="P134" s="346"/>
      <c r="Q134" s="346"/>
      <c r="R134" s="346"/>
      <c r="T134" s="1125"/>
      <c r="U134" s="1125"/>
      <c r="V134" s="1125"/>
      <c r="W134" s="1125"/>
      <c r="X134" s="1125"/>
      <c r="Y134" s="1125"/>
      <c r="Z134" s="1125"/>
      <c r="AA134" s="1125"/>
      <c r="AB134" s="1125"/>
      <c r="AC134" s="1125"/>
      <c r="AD134" s="1125"/>
      <c r="AE134" s="1125"/>
      <c r="AF134" s="1125"/>
      <c r="AG134" s="1125"/>
      <c r="AH134" s="1125"/>
      <c r="AI134" s="1125"/>
      <c r="AJ134" s="1125"/>
      <c r="AK134" s="1125"/>
      <c r="AL134" s="1125"/>
      <c r="AM134" s="1125"/>
      <c r="AN134" s="1125"/>
      <c r="AO134" s="1125"/>
      <c r="AP134" s="1125"/>
    </row>
    <row r="135" spans="1:42" s="15" customFormat="1" ht="15" customHeight="1" x14ac:dyDescent="0.2">
      <c r="A135" s="346"/>
      <c r="B135" s="346"/>
      <c r="C135" s="346"/>
      <c r="D135" s="346"/>
      <c r="E135" s="346"/>
      <c r="F135" s="346"/>
      <c r="G135" s="346"/>
      <c r="H135" s="346"/>
      <c r="I135" s="346"/>
      <c r="J135" s="346"/>
      <c r="K135" s="346"/>
      <c r="L135" s="346"/>
      <c r="M135" s="346"/>
      <c r="N135" s="346"/>
      <c r="O135" s="346"/>
      <c r="P135" s="346"/>
      <c r="Q135" s="346"/>
      <c r="R135" s="346"/>
      <c r="T135" s="1125"/>
      <c r="U135" s="1125"/>
      <c r="V135" s="1125"/>
      <c r="W135" s="1125"/>
      <c r="X135" s="1125"/>
      <c r="Y135" s="1125"/>
      <c r="Z135" s="1125"/>
      <c r="AA135" s="1125"/>
      <c r="AB135" s="1125"/>
      <c r="AC135" s="1125"/>
      <c r="AD135" s="1125"/>
      <c r="AE135" s="1125"/>
      <c r="AF135" s="1125"/>
      <c r="AG135" s="1125"/>
      <c r="AH135" s="1125"/>
      <c r="AI135" s="1125"/>
      <c r="AJ135" s="1125"/>
      <c r="AK135" s="1125"/>
      <c r="AL135" s="1125"/>
      <c r="AM135" s="1125"/>
      <c r="AN135" s="1125"/>
      <c r="AO135" s="1125"/>
      <c r="AP135" s="1125"/>
    </row>
    <row r="136" spans="1:42" s="15" customFormat="1" ht="21" customHeight="1" x14ac:dyDescent="0.2">
      <c r="A136" s="346"/>
      <c r="B136" s="2173" t="s">
        <v>2043</v>
      </c>
      <c r="C136" s="2173"/>
      <c r="D136" s="2173"/>
      <c r="E136" s="2174"/>
      <c r="F136" s="1018" t="s">
        <v>2021</v>
      </c>
      <c r="G136" s="346"/>
      <c r="H136" s="346"/>
      <c r="I136" s="346"/>
      <c r="J136" s="346"/>
      <c r="K136" s="346"/>
      <c r="L136" s="346"/>
      <c r="M136" s="346"/>
      <c r="N136" s="346"/>
      <c r="O136" s="346"/>
      <c r="P136" s="346"/>
      <c r="Q136" s="346"/>
      <c r="R136" s="346"/>
      <c r="T136" s="1125"/>
      <c r="U136" s="1125"/>
      <c r="V136" s="1125"/>
      <c r="W136" s="1125"/>
      <c r="X136" s="1125"/>
      <c r="Y136" s="1125"/>
      <c r="Z136" s="1125"/>
      <c r="AA136" s="1125"/>
      <c r="AB136" s="1125"/>
      <c r="AC136" s="1125"/>
      <c r="AD136" s="1125"/>
      <c r="AE136" s="1125"/>
      <c r="AF136" s="1125"/>
      <c r="AG136" s="1125"/>
      <c r="AH136" s="1125"/>
      <c r="AI136" s="1125"/>
      <c r="AJ136" s="1125"/>
      <c r="AK136" s="1125"/>
      <c r="AL136" s="1125"/>
      <c r="AM136" s="1125"/>
      <c r="AN136" s="1125"/>
      <c r="AO136" s="1125"/>
      <c r="AP136" s="1125"/>
    </row>
    <row r="137" spans="1:42" s="15" customFormat="1" ht="18" customHeight="1" x14ac:dyDescent="0.2">
      <c r="A137" s="346"/>
      <c r="B137" s="2155" t="s">
        <v>2025</v>
      </c>
      <c r="C137" s="2155"/>
      <c r="D137" s="2155"/>
      <c r="E137" s="2155"/>
      <c r="F137" s="2155"/>
      <c r="G137" s="346"/>
      <c r="H137" s="346"/>
      <c r="I137" s="346"/>
      <c r="J137" s="346"/>
      <c r="K137" s="346"/>
      <c r="L137" s="346"/>
      <c r="M137" s="346"/>
      <c r="N137" s="346"/>
      <c r="O137" s="346"/>
      <c r="P137" s="346"/>
      <c r="Q137" s="346"/>
      <c r="R137" s="346"/>
      <c r="T137" s="1125"/>
      <c r="U137" s="1125"/>
      <c r="V137" s="1125"/>
      <c r="W137" s="1125"/>
      <c r="X137" s="1125"/>
      <c r="Y137" s="1125"/>
      <c r="Z137" s="1125"/>
      <c r="AA137" s="1125"/>
      <c r="AB137" s="1125"/>
      <c r="AC137" s="1125"/>
      <c r="AD137" s="1125"/>
      <c r="AE137" s="1125"/>
      <c r="AF137" s="1125"/>
      <c r="AG137" s="1125"/>
      <c r="AH137" s="1125"/>
      <c r="AI137" s="1125"/>
      <c r="AJ137" s="1125"/>
      <c r="AK137" s="1125"/>
      <c r="AL137" s="1125"/>
      <c r="AM137" s="1125"/>
      <c r="AN137" s="1125"/>
      <c r="AO137" s="1125"/>
      <c r="AP137" s="1125"/>
    </row>
    <row r="138" spans="1:42" s="15" customFormat="1" ht="16.5" customHeight="1" x14ac:dyDescent="0.2">
      <c r="A138" s="346"/>
      <c r="B138" s="2154" t="s">
        <v>2026</v>
      </c>
      <c r="C138" s="2154"/>
      <c r="D138" s="2154"/>
      <c r="E138" s="2154"/>
      <c r="F138" s="1012">
        <v>46</v>
      </c>
      <c r="G138" s="346"/>
      <c r="H138" s="346"/>
      <c r="I138" s="346"/>
      <c r="J138" s="346"/>
      <c r="K138" s="346"/>
      <c r="L138" s="346"/>
      <c r="M138" s="346"/>
      <c r="N138" s="346"/>
      <c r="O138" s="346"/>
      <c r="P138" s="346"/>
      <c r="Q138" s="346"/>
      <c r="R138" s="346"/>
      <c r="T138" s="1125"/>
      <c r="U138" s="1125"/>
      <c r="V138" s="1125"/>
      <c r="W138" s="1125"/>
      <c r="X138" s="1125"/>
      <c r="Y138" s="1125"/>
      <c r="Z138" s="1125"/>
      <c r="AA138" s="1125"/>
      <c r="AB138" s="1125"/>
      <c r="AC138" s="1125"/>
      <c r="AD138" s="1125"/>
      <c r="AE138" s="1125"/>
      <c r="AF138" s="1125"/>
      <c r="AG138" s="1125"/>
      <c r="AH138" s="1125"/>
      <c r="AI138" s="1125"/>
      <c r="AJ138" s="1125"/>
      <c r="AK138" s="1125"/>
      <c r="AL138" s="1125"/>
      <c r="AM138" s="1125"/>
      <c r="AN138" s="1125"/>
      <c r="AO138" s="1125"/>
      <c r="AP138" s="1125"/>
    </row>
    <row r="139" spans="1:42" s="15" customFormat="1" ht="16.5" customHeight="1" x14ac:dyDescent="0.2">
      <c r="A139" s="346"/>
      <c r="B139" s="2154" t="s">
        <v>2027</v>
      </c>
      <c r="C139" s="2154"/>
      <c r="D139" s="2154"/>
      <c r="E139" s="2154"/>
      <c r="F139" s="1012">
        <v>56</v>
      </c>
      <c r="G139" s="346"/>
      <c r="H139" s="346"/>
      <c r="I139" s="346"/>
      <c r="J139" s="346"/>
      <c r="K139" s="346"/>
      <c r="L139" s="346"/>
      <c r="M139" s="346"/>
      <c r="N139" s="346"/>
      <c r="O139" s="346"/>
      <c r="P139" s="346"/>
      <c r="Q139" s="346"/>
      <c r="R139" s="346"/>
      <c r="T139" s="1125"/>
      <c r="U139" s="1125"/>
      <c r="V139" s="1125"/>
      <c r="W139" s="1125"/>
      <c r="X139" s="1125"/>
      <c r="Y139" s="1125"/>
      <c r="Z139" s="1125"/>
      <c r="AA139" s="1125"/>
      <c r="AB139" s="1125"/>
      <c r="AC139" s="1125"/>
      <c r="AD139" s="1125"/>
      <c r="AE139" s="1125"/>
      <c r="AF139" s="1125"/>
      <c r="AG139" s="1125"/>
      <c r="AH139" s="1125"/>
      <c r="AI139" s="1125"/>
      <c r="AJ139" s="1125"/>
      <c r="AK139" s="1125"/>
      <c r="AL139" s="1125"/>
      <c r="AM139" s="1125"/>
      <c r="AN139" s="1125"/>
      <c r="AO139" s="1125"/>
      <c r="AP139" s="1125"/>
    </row>
    <row r="140" spans="1:42" s="15" customFormat="1" ht="16.5" customHeight="1" x14ac:dyDescent="0.2">
      <c r="A140" s="346"/>
      <c r="B140" s="2154" t="s">
        <v>2028</v>
      </c>
      <c r="C140" s="2154"/>
      <c r="D140" s="2154"/>
      <c r="E140" s="2154"/>
      <c r="F140" s="1012">
        <v>82</v>
      </c>
      <c r="G140" s="346"/>
      <c r="H140" s="346"/>
      <c r="I140" s="346"/>
      <c r="J140" s="346"/>
      <c r="K140" s="346"/>
      <c r="L140" s="346"/>
      <c r="M140" s="346"/>
      <c r="N140" s="346"/>
      <c r="O140" s="346"/>
      <c r="P140" s="346"/>
      <c r="Q140" s="346"/>
      <c r="R140" s="346"/>
      <c r="T140" s="1125"/>
      <c r="U140" s="1125"/>
      <c r="V140" s="1125"/>
      <c r="W140" s="1125"/>
      <c r="X140" s="1125"/>
      <c r="Y140" s="1125"/>
      <c r="Z140" s="1125"/>
      <c r="AA140" s="1125"/>
      <c r="AB140" s="1125"/>
      <c r="AC140" s="1125"/>
      <c r="AD140" s="1125"/>
      <c r="AE140" s="1125"/>
      <c r="AF140" s="1125"/>
      <c r="AG140" s="1125"/>
      <c r="AH140" s="1125"/>
      <c r="AI140" s="1125"/>
      <c r="AJ140" s="1125"/>
      <c r="AK140" s="1125"/>
      <c r="AL140" s="1125"/>
      <c r="AM140" s="1125"/>
      <c r="AN140" s="1125"/>
      <c r="AO140" s="1125"/>
      <c r="AP140" s="1125"/>
    </row>
    <row r="141" spans="1:42" s="15" customFormat="1" ht="18" customHeight="1" x14ac:dyDescent="0.2">
      <c r="A141" s="346"/>
      <c r="B141" s="2155" t="s">
        <v>2024</v>
      </c>
      <c r="C141" s="2155"/>
      <c r="D141" s="2155"/>
      <c r="E141" s="2155"/>
      <c r="F141" s="2155"/>
      <c r="G141" s="346"/>
      <c r="H141" s="346"/>
      <c r="I141" s="346"/>
      <c r="J141" s="346"/>
      <c r="K141" s="346"/>
      <c r="L141" s="346"/>
      <c r="M141" s="346"/>
      <c r="N141" s="346"/>
      <c r="O141" s="346"/>
      <c r="P141" s="346"/>
      <c r="Q141" s="346"/>
      <c r="R141" s="346"/>
      <c r="T141" s="1125"/>
      <c r="U141" s="1125"/>
      <c r="V141" s="1125"/>
      <c r="W141" s="1125"/>
      <c r="X141" s="1125"/>
      <c r="Y141" s="1125"/>
      <c r="Z141" s="1125"/>
      <c r="AA141" s="1125"/>
      <c r="AB141" s="1125"/>
      <c r="AC141" s="1125"/>
      <c r="AD141" s="1125"/>
      <c r="AE141" s="1125"/>
      <c r="AF141" s="1125"/>
      <c r="AG141" s="1125"/>
      <c r="AH141" s="1125"/>
      <c r="AI141" s="1125"/>
      <c r="AJ141" s="1125"/>
      <c r="AK141" s="1125"/>
      <c r="AL141" s="1125"/>
      <c r="AM141" s="1125"/>
      <c r="AN141" s="1125"/>
      <c r="AO141" s="1125"/>
      <c r="AP141" s="1125"/>
    </row>
    <row r="142" spans="1:42" s="15" customFormat="1" ht="16.5" customHeight="1" x14ac:dyDescent="0.2">
      <c r="A142" s="346"/>
      <c r="B142" s="2154" t="s">
        <v>2022</v>
      </c>
      <c r="C142" s="2154"/>
      <c r="D142" s="2154"/>
      <c r="E142" s="2154"/>
      <c r="F142" s="1012">
        <v>21</v>
      </c>
      <c r="G142" s="346"/>
      <c r="H142" s="346"/>
      <c r="I142" s="346"/>
      <c r="J142" s="346"/>
      <c r="K142" s="346"/>
      <c r="L142" s="346"/>
      <c r="M142" s="346"/>
      <c r="N142" s="346"/>
      <c r="O142" s="346"/>
      <c r="P142" s="346"/>
      <c r="Q142" s="346"/>
      <c r="R142" s="346"/>
      <c r="T142" s="1125"/>
      <c r="U142" s="1125"/>
      <c r="V142" s="1125"/>
      <c r="W142" s="1125"/>
      <c r="X142" s="1125"/>
      <c r="Y142" s="1125"/>
      <c r="Z142" s="1125"/>
      <c r="AA142" s="1125"/>
      <c r="AB142" s="1125"/>
      <c r="AC142" s="1125"/>
      <c r="AD142" s="1125"/>
      <c r="AE142" s="1125"/>
      <c r="AF142" s="1125"/>
      <c r="AG142" s="1125"/>
      <c r="AH142" s="1125"/>
      <c r="AI142" s="1125"/>
      <c r="AJ142" s="1125"/>
      <c r="AK142" s="1125"/>
      <c r="AL142" s="1125"/>
      <c r="AM142" s="1125"/>
      <c r="AN142" s="1125"/>
      <c r="AO142" s="1125"/>
      <c r="AP142" s="1125"/>
    </row>
    <row r="143" spans="1:42" s="15" customFormat="1" ht="16.5" customHeight="1" x14ac:dyDescent="0.2">
      <c r="A143" s="346"/>
      <c r="B143" s="2154" t="s">
        <v>2023</v>
      </c>
      <c r="C143" s="2154"/>
      <c r="D143" s="2154"/>
      <c r="E143" s="2154"/>
      <c r="F143" s="1012">
        <v>84</v>
      </c>
      <c r="G143" s="346"/>
      <c r="H143" s="346"/>
      <c r="I143" s="346"/>
      <c r="J143" s="346"/>
      <c r="K143" s="346"/>
      <c r="L143" s="346"/>
      <c r="M143" s="346"/>
      <c r="N143" s="346"/>
      <c r="O143" s="346"/>
      <c r="P143" s="346"/>
      <c r="Q143" s="346"/>
      <c r="R143" s="346"/>
      <c r="T143" s="1125"/>
      <c r="U143" s="1125"/>
      <c r="V143" s="1125"/>
      <c r="W143" s="1125"/>
      <c r="X143" s="1125"/>
      <c r="Y143" s="1125"/>
      <c r="Z143" s="1125"/>
      <c r="AA143" s="1125"/>
      <c r="AB143" s="1125"/>
      <c r="AC143" s="1125"/>
      <c r="AD143" s="1125"/>
      <c r="AE143" s="1125"/>
      <c r="AF143" s="1125"/>
      <c r="AG143" s="1125"/>
      <c r="AH143" s="1125"/>
      <c r="AI143" s="1125"/>
      <c r="AJ143" s="1125"/>
      <c r="AK143" s="1125"/>
      <c r="AL143" s="1125"/>
      <c r="AM143" s="1125"/>
      <c r="AN143" s="1125"/>
      <c r="AO143" s="1125"/>
      <c r="AP143" s="1125"/>
    </row>
    <row r="144" spans="1:42" s="15" customFormat="1" ht="16.5" customHeight="1" x14ac:dyDescent="0.2">
      <c r="A144" s="346"/>
      <c r="B144" s="2154" t="s">
        <v>2037</v>
      </c>
      <c r="C144" s="2154"/>
      <c r="D144" s="2154"/>
      <c r="E144" s="2154"/>
      <c r="F144" s="1012">
        <v>28</v>
      </c>
      <c r="G144" s="346"/>
      <c r="H144" s="346"/>
      <c r="I144" s="346"/>
      <c r="J144" s="346"/>
      <c r="K144" s="346"/>
      <c r="L144" s="346"/>
      <c r="M144" s="346"/>
      <c r="N144" s="346"/>
      <c r="O144" s="346"/>
      <c r="P144" s="346"/>
      <c r="Q144" s="346"/>
      <c r="R144" s="346"/>
      <c r="T144" s="1125"/>
      <c r="U144" s="1125"/>
      <c r="V144" s="1125"/>
      <c r="W144" s="1125"/>
      <c r="X144" s="1125"/>
      <c r="Y144" s="1125"/>
      <c r="Z144" s="1125"/>
      <c r="AA144" s="1125"/>
      <c r="AB144" s="1125"/>
      <c r="AC144" s="1125"/>
      <c r="AD144" s="1125"/>
      <c r="AE144" s="1125"/>
      <c r="AF144" s="1125"/>
      <c r="AG144" s="1125"/>
      <c r="AH144" s="1125"/>
      <c r="AI144" s="1125"/>
      <c r="AJ144" s="1125"/>
      <c r="AK144" s="1125"/>
      <c r="AL144" s="1125"/>
      <c r="AM144" s="1125"/>
      <c r="AN144" s="1125"/>
      <c r="AO144" s="1125"/>
      <c r="AP144" s="1125"/>
    </row>
    <row r="145" spans="1:42" s="15" customFormat="1" ht="16.5" customHeight="1" x14ac:dyDescent="0.2">
      <c r="A145" s="346"/>
      <c r="B145" s="2154" t="s">
        <v>2038</v>
      </c>
      <c r="C145" s="2154"/>
      <c r="D145" s="2154"/>
      <c r="E145" s="2154"/>
      <c r="F145" s="1012">
        <v>37</v>
      </c>
      <c r="G145" s="346"/>
      <c r="H145" s="346"/>
      <c r="I145" s="346"/>
      <c r="J145" s="346"/>
      <c r="K145" s="346"/>
      <c r="L145" s="346"/>
      <c r="M145" s="346"/>
      <c r="N145" s="346"/>
      <c r="O145" s="346"/>
      <c r="P145" s="346"/>
      <c r="Q145" s="346"/>
      <c r="R145" s="346"/>
      <c r="T145" s="1125"/>
      <c r="U145" s="1125"/>
      <c r="V145" s="1125"/>
      <c r="W145" s="1125"/>
      <c r="X145" s="1125"/>
      <c r="Y145" s="1125"/>
      <c r="Z145" s="1125"/>
      <c r="AA145" s="1125"/>
      <c r="AB145" s="1125"/>
      <c r="AC145" s="1125"/>
      <c r="AD145" s="1125"/>
      <c r="AE145" s="1125"/>
      <c r="AF145" s="1125"/>
      <c r="AG145" s="1125"/>
      <c r="AH145" s="1125"/>
      <c r="AI145" s="1125"/>
      <c r="AJ145" s="1125"/>
      <c r="AK145" s="1125"/>
      <c r="AL145" s="1125"/>
      <c r="AM145" s="1125"/>
      <c r="AN145" s="1125"/>
      <c r="AO145" s="1125"/>
      <c r="AP145" s="1125"/>
    </row>
    <row r="146" spans="1:42" s="15" customFormat="1" ht="16.5" customHeight="1" x14ac:dyDescent="0.2">
      <c r="A146" s="346"/>
      <c r="B146" s="2154" t="s">
        <v>2039</v>
      </c>
      <c r="C146" s="2154"/>
      <c r="D146" s="2154"/>
      <c r="E146" s="2154"/>
      <c r="F146" s="1012">
        <v>79</v>
      </c>
      <c r="G146" s="346"/>
      <c r="H146" s="346"/>
      <c r="I146" s="346"/>
      <c r="J146" s="346"/>
      <c r="K146" s="346"/>
      <c r="L146" s="346"/>
      <c r="M146" s="346"/>
      <c r="N146" s="346"/>
      <c r="O146" s="346"/>
      <c r="P146" s="346"/>
      <c r="Q146" s="346"/>
      <c r="R146" s="346"/>
      <c r="T146" s="1125"/>
      <c r="U146" s="1125"/>
      <c r="V146" s="1125"/>
      <c r="W146" s="1125"/>
      <c r="X146" s="1125"/>
      <c r="Y146" s="1125"/>
      <c r="Z146" s="1125"/>
      <c r="AA146" s="1125"/>
      <c r="AB146" s="1125"/>
      <c r="AC146" s="1125"/>
      <c r="AD146" s="1125"/>
      <c r="AE146" s="1125"/>
      <c r="AF146" s="1125"/>
      <c r="AG146" s="1125"/>
      <c r="AH146" s="1125"/>
      <c r="AI146" s="1125"/>
      <c r="AJ146" s="1125"/>
      <c r="AK146" s="1125"/>
      <c r="AL146" s="1125"/>
      <c r="AM146" s="1125"/>
      <c r="AN146" s="1125"/>
      <c r="AO146" s="1125"/>
      <c r="AP146" s="1125"/>
    </row>
    <row r="147" spans="1:42" s="15" customFormat="1" ht="18" customHeight="1" x14ac:dyDescent="0.2">
      <c r="A147" s="346"/>
      <c r="B147" s="2155" t="s">
        <v>2030</v>
      </c>
      <c r="C147" s="2155"/>
      <c r="D147" s="2155"/>
      <c r="E147" s="2155"/>
      <c r="F147" s="2155">
        <v>0.6</v>
      </c>
      <c r="G147" s="346"/>
      <c r="H147" s="346"/>
      <c r="I147" s="346"/>
      <c r="J147" s="346"/>
      <c r="K147" s="346"/>
      <c r="L147" s="346"/>
      <c r="M147" s="346"/>
      <c r="N147" s="346"/>
      <c r="O147" s="346"/>
      <c r="P147" s="346"/>
      <c r="Q147" s="346"/>
      <c r="R147" s="346"/>
      <c r="T147" s="1125"/>
      <c r="U147" s="1125"/>
      <c r="V147" s="1125"/>
      <c r="W147" s="1125"/>
      <c r="X147" s="1125"/>
      <c r="Y147" s="1125"/>
      <c r="Z147" s="1125"/>
      <c r="AA147" s="1125"/>
      <c r="AB147" s="1125"/>
      <c r="AC147" s="1125"/>
      <c r="AD147" s="1125"/>
      <c r="AE147" s="1125"/>
      <c r="AF147" s="1125"/>
      <c r="AG147" s="1125"/>
      <c r="AH147" s="1125"/>
      <c r="AI147" s="1125"/>
      <c r="AJ147" s="1125"/>
      <c r="AK147" s="1125"/>
      <c r="AL147" s="1125"/>
      <c r="AM147" s="1125"/>
      <c r="AN147" s="1125"/>
      <c r="AO147" s="1125"/>
      <c r="AP147" s="1125"/>
    </row>
    <row r="148" spans="1:42" s="15" customFormat="1" ht="15" customHeight="1" x14ac:dyDescent="0.2">
      <c r="A148" s="346"/>
      <c r="B148" s="2154" t="s">
        <v>2041</v>
      </c>
      <c r="C148" s="2154"/>
      <c r="D148" s="2154"/>
      <c r="E148" s="2154"/>
      <c r="F148" s="1012">
        <v>100</v>
      </c>
      <c r="G148" s="346"/>
      <c r="H148" s="346"/>
      <c r="I148" s="346"/>
      <c r="J148" s="346"/>
      <c r="K148" s="346"/>
      <c r="L148" s="346"/>
      <c r="M148" s="346"/>
      <c r="N148" s="346"/>
      <c r="O148" s="346"/>
      <c r="P148" s="346"/>
      <c r="Q148" s="346"/>
      <c r="R148" s="346"/>
      <c r="T148" s="1125"/>
      <c r="U148" s="1125"/>
      <c r="V148" s="1125"/>
      <c r="W148" s="1125"/>
      <c r="X148" s="1125"/>
      <c r="Y148" s="1125"/>
      <c r="Z148" s="1125"/>
      <c r="AA148" s="1125"/>
      <c r="AB148" s="1125"/>
      <c r="AC148" s="1125"/>
      <c r="AD148" s="1125"/>
      <c r="AE148" s="1125"/>
      <c r="AF148" s="1125"/>
      <c r="AG148" s="1125"/>
      <c r="AH148" s="1125"/>
      <c r="AI148" s="1125"/>
      <c r="AJ148" s="1125"/>
      <c r="AK148" s="1125"/>
      <c r="AL148" s="1125"/>
      <c r="AM148" s="1125"/>
      <c r="AN148" s="1125"/>
      <c r="AO148" s="1125"/>
      <c r="AP148" s="1125"/>
    </row>
    <row r="149" spans="1:42" s="15" customFormat="1" ht="15" customHeight="1" x14ac:dyDescent="0.2">
      <c r="A149" s="346"/>
      <c r="B149" s="2154" t="s">
        <v>2042</v>
      </c>
      <c r="C149" s="2154"/>
      <c r="D149" s="2154"/>
      <c r="E149" s="2154"/>
      <c r="F149" s="1012">
        <v>107</v>
      </c>
      <c r="G149" s="346"/>
      <c r="H149" s="346"/>
      <c r="I149" s="346"/>
      <c r="J149" s="346"/>
      <c r="K149" s="346"/>
      <c r="L149" s="346"/>
      <c r="M149" s="346"/>
      <c r="N149" s="346"/>
      <c r="O149" s="346"/>
      <c r="P149" s="346"/>
      <c r="Q149" s="346"/>
      <c r="R149" s="346"/>
      <c r="T149" s="1125"/>
      <c r="U149" s="1125"/>
      <c r="V149" s="1125"/>
      <c r="W149" s="1125"/>
      <c r="X149" s="1125"/>
      <c r="Y149" s="1125"/>
      <c r="Z149" s="1125"/>
      <c r="AA149" s="1125"/>
      <c r="AB149" s="1125"/>
      <c r="AC149" s="1125"/>
      <c r="AD149" s="1125"/>
      <c r="AE149" s="1125"/>
      <c r="AF149" s="1125"/>
      <c r="AG149" s="1125"/>
      <c r="AH149" s="1125"/>
      <c r="AI149" s="1125"/>
      <c r="AJ149" s="1125"/>
      <c r="AK149" s="1125"/>
      <c r="AL149" s="1125"/>
      <c r="AM149" s="1125"/>
      <c r="AN149" s="1125"/>
      <c r="AO149" s="1125"/>
      <c r="AP149" s="1125"/>
    </row>
    <row r="150" spans="1:42" s="15" customFormat="1" ht="18" customHeight="1" x14ac:dyDescent="0.2">
      <c r="A150" s="346"/>
      <c r="B150" s="2155" t="s">
        <v>2040</v>
      </c>
      <c r="C150" s="2155"/>
      <c r="D150" s="2155"/>
      <c r="E150" s="2155"/>
      <c r="F150" s="2155">
        <v>0.6</v>
      </c>
      <c r="G150" s="346"/>
      <c r="H150" s="346"/>
      <c r="I150" s="346"/>
      <c r="J150" s="346"/>
      <c r="K150" s="346"/>
      <c r="L150" s="346"/>
      <c r="M150" s="346"/>
      <c r="N150" s="346"/>
      <c r="O150" s="346"/>
      <c r="P150" s="346"/>
      <c r="Q150" s="346"/>
      <c r="R150" s="346"/>
      <c r="T150" s="1125"/>
      <c r="U150" s="1125"/>
      <c r="V150" s="1125"/>
      <c r="W150" s="1125"/>
      <c r="X150" s="1125"/>
      <c r="Y150" s="1125"/>
      <c r="Z150" s="1125"/>
      <c r="AA150" s="1125"/>
      <c r="AB150" s="1125"/>
      <c r="AC150" s="1125"/>
      <c r="AD150" s="1125"/>
      <c r="AE150" s="1125"/>
      <c r="AF150" s="1125"/>
      <c r="AG150" s="1125"/>
      <c r="AH150" s="1125"/>
      <c r="AI150" s="1125"/>
      <c r="AJ150" s="1125"/>
      <c r="AK150" s="1125"/>
      <c r="AL150" s="1125"/>
      <c r="AM150" s="1125"/>
      <c r="AN150" s="1125"/>
      <c r="AO150" s="1125"/>
      <c r="AP150" s="1125"/>
    </row>
    <row r="151" spans="1:42" s="15" customFormat="1" ht="15" customHeight="1" x14ac:dyDescent="0.2">
      <c r="A151" s="346"/>
      <c r="B151" s="2154" t="s">
        <v>2034</v>
      </c>
      <c r="C151" s="2154"/>
      <c r="D151" s="2154"/>
      <c r="E151" s="2154"/>
      <c r="F151" s="1012">
        <v>90</v>
      </c>
      <c r="G151" s="346"/>
      <c r="H151" s="346"/>
      <c r="I151" s="346"/>
      <c r="J151" s="346"/>
      <c r="K151" s="346"/>
      <c r="L151" s="346"/>
      <c r="M151" s="346"/>
      <c r="N151" s="346"/>
      <c r="O151" s="346"/>
      <c r="P151" s="346"/>
      <c r="Q151" s="346"/>
      <c r="R151" s="346"/>
      <c r="T151" s="1125"/>
      <c r="U151" s="1125"/>
      <c r="V151" s="1125"/>
      <c r="W151" s="1125"/>
      <c r="X151" s="1125"/>
      <c r="Y151" s="1125"/>
      <c r="Z151" s="1125"/>
      <c r="AA151" s="1125"/>
      <c r="AB151" s="1125"/>
      <c r="AC151" s="1125"/>
      <c r="AD151" s="1125"/>
      <c r="AE151" s="1125"/>
      <c r="AF151" s="1125"/>
      <c r="AG151" s="1125"/>
      <c r="AH151" s="1125"/>
      <c r="AI151" s="1125"/>
      <c r="AJ151" s="1125"/>
      <c r="AK151" s="1125"/>
      <c r="AL151" s="1125"/>
      <c r="AM151" s="1125"/>
      <c r="AN151" s="1125"/>
      <c r="AO151" s="1125"/>
      <c r="AP151" s="1125"/>
    </row>
    <row r="152" spans="1:42" s="15" customFormat="1" ht="15" customHeight="1" x14ac:dyDescent="0.2">
      <c r="A152" s="346"/>
      <c r="B152" s="2154" t="s">
        <v>2036</v>
      </c>
      <c r="C152" s="2154"/>
      <c r="D152" s="2154"/>
      <c r="E152" s="2154"/>
      <c r="F152" s="1012">
        <v>36</v>
      </c>
      <c r="G152" s="346"/>
      <c r="H152" s="346"/>
      <c r="I152" s="346"/>
      <c r="J152" s="346"/>
      <c r="K152" s="346"/>
      <c r="L152" s="346"/>
      <c r="M152" s="346"/>
      <c r="N152" s="346"/>
      <c r="O152" s="346"/>
      <c r="P152" s="346"/>
      <c r="Q152" s="346"/>
      <c r="R152" s="346"/>
      <c r="T152" s="1125"/>
      <c r="U152" s="1125"/>
      <c r="V152" s="1125"/>
      <c r="W152" s="1125"/>
      <c r="X152" s="1125"/>
      <c r="Y152" s="1125"/>
      <c r="Z152" s="1125"/>
      <c r="AA152" s="1125"/>
      <c r="AB152" s="1125"/>
      <c r="AC152" s="1125"/>
      <c r="AD152" s="1125"/>
      <c r="AE152" s="1125"/>
      <c r="AF152" s="1125"/>
      <c r="AG152" s="1125"/>
      <c r="AH152" s="1125"/>
      <c r="AI152" s="1125"/>
      <c r="AJ152" s="1125"/>
      <c r="AK152" s="1125"/>
      <c r="AL152" s="1125"/>
      <c r="AM152" s="1125"/>
      <c r="AN152" s="1125"/>
      <c r="AO152" s="1125"/>
      <c r="AP152" s="1125"/>
    </row>
    <row r="153" spans="1:42" s="15" customFormat="1" ht="15" customHeight="1" x14ac:dyDescent="0.2">
      <c r="A153" s="346"/>
      <c r="B153" s="2154" t="s">
        <v>2035</v>
      </c>
      <c r="C153" s="2154"/>
      <c r="D153" s="2154"/>
      <c r="E153" s="2154"/>
      <c r="F153" s="1012">
        <v>25</v>
      </c>
      <c r="G153" s="346"/>
      <c r="H153" s="346"/>
      <c r="I153" s="346"/>
      <c r="J153" s="346"/>
      <c r="K153" s="346"/>
      <c r="L153" s="346"/>
      <c r="M153" s="346"/>
      <c r="N153" s="346"/>
      <c r="O153" s="346"/>
      <c r="P153" s="346"/>
      <c r="Q153" s="346"/>
      <c r="R153" s="346"/>
      <c r="T153" s="1125"/>
      <c r="U153" s="1125"/>
      <c r="V153" s="1125"/>
      <c r="W153" s="1125"/>
      <c r="X153" s="1125"/>
      <c r="Y153" s="1125"/>
      <c r="Z153" s="1125"/>
      <c r="AA153" s="1125"/>
      <c r="AB153" s="1125"/>
      <c r="AC153" s="1125"/>
      <c r="AD153" s="1125"/>
      <c r="AE153" s="1125"/>
      <c r="AF153" s="1125"/>
      <c r="AG153" s="1125"/>
      <c r="AH153" s="1125"/>
      <c r="AI153" s="1125"/>
      <c r="AJ153" s="1125"/>
      <c r="AK153" s="1125"/>
      <c r="AL153" s="1125"/>
      <c r="AM153" s="1125"/>
      <c r="AN153" s="1125"/>
      <c r="AO153" s="1125"/>
      <c r="AP153" s="1125"/>
    </row>
    <row r="154" spans="1:42" s="15" customFormat="1" ht="18" customHeight="1" x14ac:dyDescent="0.2">
      <c r="A154" s="346"/>
      <c r="B154" s="2155" t="s">
        <v>2029</v>
      </c>
      <c r="C154" s="2155"/>
      <c r="D154" s="2155"/>
      <c r="E154" s="2155"/>
      <c r="F154" s="2155">
        <v>0.6</v>
      </c>
      <c r="G154" s="346"/>
      <c r="H154" s="346"/>
      <c r="I154" s="346"/>
      <c r="J154" s="346"/>
      <c r="K154" s="346"/>
      <c r="L154" s="346"/>
      <c r="M154" s="346"/>
      <c r="N154" s="346"/>
      <c r="O154" s="346"/>
      <c r="P154" s="346"/>
      <c r="Q154" s="346"/>
      <c r="R154" s="346"/>
      <c r="T154" s="1125"/>
      <c r="U154" s="1125"/>
      <c r="V154" s="1125"/>
      <c r="W154" s="1125"/>
      <c r="X154" s="1125"/>
      <c r="Y154" s="1125"/>
      <c r="Z154" s="1125"/>
      <c r="AA154" s="1125"/>
      <c r="AB154" s="1125"/>
      <c r="AC154" s="1125"/>
      <c r="AD154" s="1125"/>
      <c r="AE154" s="1125"/>
      <c r="AF154" s="1125"/>
      <c r="AG154" s="1125"/>
      <c r="AH154" s="1125"/>
      <c r="AI154" s="1125"/>
      <c r="AJ154" s="1125"/>
      <c r="AK154" s="1125"/>
      <c r="AL154" s="1125"/>
      <c r="AM154" s="1125"/>
      <c r="AN154" s="1125"/>
      <c r="AO154" s="1125"/>
      <c r="AP154" s="1125"/>
    </row>
    <row r="155" spans="1:42" s="15" customFormat="1" ht="15" customHeight="1" x14ac:dyDescent="0.25">
      <c r="A155" s="346"/>
      <c r="B155" s="2154" t="s">
        <v>2033</v>
      </c>
      <c r="C155" s="2154"/>
      <c r="D155" s="2154"/>
      <c r="E155" s="2154"/>
      <c r="F155" s="1012">
        <v>26</v>
      </c>
      <c r="G155" s="346"/>
      <c r="H155" s="1017"/>
      <c r="I155" s="346"/>
      <c r="J155" s="346"/>
      <c r="K155" s="346"/>
      <c r="L155" s="346"/>
      <c r="M155" s="346"/>
      <c r="N155" s="346"/>
      <c r="O155" s="346"/>
      <c r="P155" s="346"/>
      <c r="Q155" s="346"/>
      <c r="R155" s="346"/>
      <c r="T155" s="1125"/>
      <c r="U155" s="1125"/>
      <c r="V155" s="1125"/>
      <c r="W155" s="1125"/>
      <c r="X155" s="1125"/>
      <c r="Y155" s="1125"/>
      <c r="Z155" s="1125"/>
      <c r="AA155" s="1125"/>
      <c r="AB155" s="1125"/>
      <c r="AC155" s="1125"/>
      <c r="AD155" s="1125"/>
      <c r="AE155" s="1125"/>
      <c r="AF155" s="1125"/>
      <c r="AG155" s="1125"/>
      <c r="AH155" s="1125"/>
      <c r="AI155" s="1125"/>
      <c r="AJ155" s="1125"/>
      <c r="AK155" s="1125"/>
      <c r="AL155" s="1125"/>
      <c r="AM155" s="1125"/>
      <c r="AN155" s="1125"/>
      <c r="AO155" s="1125"/>
      <c r="AP155" s="1125"/>
    </row>
    <row r="156" spans="1:42" s="15" customFormat="1" ht="15" customHeight="1" x14ac:dyDescent="0.2">
      <c r="A156" s="346"/>
      <c r="B156" s="2154" t="s">
        <v>2032</v>
      </c>
      <c r="C156" s="2154"/>
      <c r="D156" s="2154"/>
      <c r="E156" s="2154"/>
      <c r="F156" s="1012">
        <v>22</v>
      </c>
      <c r="G156" s="346"/>
      <c r="H156" s="346"/>
      <c r="I156" s="346"/>
      <c r="J156" s="346"/>
      <c r="K156" s="346"/>
      <c r="L156" s="346"/>
      <c r="M156" s="346"/>
      <c r="N156" s="346"/>
      <c r="O156" s="346"/>
      <c r="P156" s="346"/>
      <c r="Q156" s="346"/>
      <c r="R156" s="346"/>
      <c r="T156" s="1125"/>
      <c r="U156" s="1125"/>
      <c r="V156" s="1125"/>
      <c r="W156" s="1125"/>
      <c r="X156" s="1125"/>
      <c r="Y156" s="1125"/>
      <c r="Z156" s="1125"/>
      <c r="AA156" s="1125"/>
      <c r="AB156" s="1125"/>
      <c r="AC156" s="1125"/>
      <c r="AD156" s="1125"/>
      <c r="AE156" s="1125"/>
      <c r="AF156" s="1125"/>
      <c r="AG156" s="1125"/>
      <c r="AH156" s="1125"/>
      <c r="AI156" s="1125"/>
      <c r="AJ156" s="1125"/>
      <c r="AK156" s="1125"/>
      <c r="AL156" s="1125"/>
      <c r="AM156" s="1125"/>
      <c r="AN156" s="1125"/>
      <c r="AO156" s="1125"/>
      <c r="AP156" s="1125"/>
    </row>
    <row r="157" spans="1:42" s="15" customFormat="1" ht="15" customHeight="1" x14ac:dyDescent="0.2">
      <c r="A157" s="346"/>
      <c r="B157" s="1042" t="s">
        <v>2044</v>
      </c>
      <c r="C157" s="346"/>
      <c r="D157" s="346"/>
      <c r="E157" s="346"/>
      <c r="F157" s="346"/>
      <c r="G157" s="346"/>
      <c r="H157" s="346"/>
      <c r="I157" s="346"/>
      <c r="J157" s="346"/>
      <c r="K157" s="346"/>
      <c r="L157" s="346"/>
      <c r="M157" s="346"/>
      <c r="N157" s="346"/>
      <c r="O157" s="346"/>
      <c r="P157" s="346"/>
      <c r="Q157" s="346"/>
      <c r="R157" s="346"/>
      <c r="T157" s="1125"/>
      <c r="U157" s="1125"/>
      <c r="V157" s="1125"/>
      <c r="W157" s="1125"/>
      <c r="X157" s="1125"/>
      <c r="Y157" s="1125"/>
      <c r="Z157" s="1125"/>
      <c r="AA157" s="1125"/>
      <c r="AB157" s="1125"/>
      <c r="AC157" s="1125"/>
      <c r="AD157" s="1125"/>
      <c r="AE157" s="1125"/>
      <c r="AF157" s="1125"/>
      <c r="AG157" s="1125"/>
      <c r="AH157" s="1125"/>
      <c r="AI157" s="1125"/>
      <c r="AJ157" s="1125"/>
      <c r="AK157" s="1125"/>
      <c r="AL157" s="1125"/>
      <c r="AM157" s="1125"/>
      <c r="AN157" s="1125"/>
      <c r="AO157" s="1125"/>
      <c r="AP157" s="1125"/>
    </row>
    <row r="158" spans="1:42" s="15" customFormat="1" ht="15" customHeight="1" x14ac:dyDescent="0.25">
      <c r="A158" s="346"/>
      <c r="B158" s="1042" t="s">
        <v>2098</v>
      </c>
      <c r="C158" s="346"/>
      <c r="D158" s="346"/>
      <c r="E158" s="1017" t="s">
        <v>2031</v>
      </c>
      <c r="F158" s="346"/>
      <c r="G158" s="346"/>
      <c r="H158" s="346"/>
      <c r="I158" s="346"/>
      <c r="J158" s="346"/>
      <c r="K158" s="346"/>
      <c r="L158" s="346"/>
      <c r="M158" s="346"/>
      <c r="N158" s="346"/>
      <c r="O158" s="346"/>
      <c r="P158" s="346"/>
      <c r="Q158" s="346"/>
      <c r="R158" s="346"/>
      <c r="T158" s="1125"/>
      <c r="U158" s="1125"/>
      <c r="V158" s="1125"/>
      <c r="W158" s="1125"/>
      <c r="X158" s="1125"/>
      <c r="Y158" s="1125"/>
      <c r="Z158" s="1125"/>
      <c r="AA158" s="1125"/>
      <c r="AB158" s="1125"/>
      <c r="AC158" s="1125"/>
      <c r="AD158" s="1125"/>
      <c r="AE158" s="1125"/>
      <c r="AF158" s="1125"/>
      <c r="AG158" s="1125"/>
      <c r="AH158" s="1125"/>
      <c r="AI158" s="1125"/>
      <c r="AJ158" s="1125"/>
      <c r="AK158" s="1125"/>
      <c r="AL158" s="1125"/>
      <c r="AM158" s="1125"/>
      <c r="AN158" s="1125"/>
      <c r="AO158" s="1125"/>
      <c r="AP158" s="1125"/>
    </row>
    <row r="159" spans="1:42" s="15" customFormat="1" ht="15" customHeight="1" x14ac:dyDescent="0.2">
      <c r="A159" s="940"/>
      <c r="B159" s="940"/>
      <c r="C159" s="940"/>
      <c r="D159" s="940"/>
      <c r="E159" s="940"/>
      <c r="F159" s="940"/>
      <c r="G159" s="940"/>
      <c r="H159" s="940"/>
      <c r="I159" s="940"/>
      <c r="J159" s="940"/>
      <c r="K159" s="940"/>
      <c r="L159" s="940"/>
      <c r="M159" s="940"/>
      <c r="N159" s="940"/>
      <c r="O159" s="940"/>
      <c r="P159" s="940"/>
      <c r="Q159" s="940"/>
      <c r="R159" s="940"/>
      <c r="T159" s="1125"/>
      <c r="U159" s="1125"/>
      <c r="V159" s="1125"/>
      <c r="W159" s="1125"/>
      <c r="X159" s="1125"/>
      <c r="Y159" s="1125"/>
      <c r="Z159" s="1125"/>
      <c r="AA159" s="1125"/>
      <c r="AB159" s="1125"/>
      <c r="AC159" s="1125"/>
      <c r="AD159" s="1125"/>
      <c r="AE159" s="1125"/>
      <c r="AF159" s="1125"/>
      <c r="AG159" s="1125"/>
      <c r="AH159" s="1125"/>
      <c r="AI159" s="1125"/>
      <c r="AJ159" s="1125"/>
      <c r="AK159" s="1125"/>
      <c r="AL159" s="1125"/>
      <c r="AM159" s="1125"/>
      <c r="AN159" s="1125"/>
      <c r="AO159" s="1125"/>
      <c r="AP159" s="1125"/>
    </row>
    <row r="160" spans="1:42" s="15" customFormat="1" ht="21.75" customHeight="1" x14ac:dyDescent="0.2">
      <c r="A160" s="2156" t="s">
        <v>251</v>
      </c>
      <c r="B160" s="2156"/>
      <c r="C160" s="2156"/>
      <c r="D160" s="2156"/>
      <c r="E160" s="2156"/>
      <c r="F160" s="2156"/>
      <c r="G160" s="1"/>
      <c r="H160" s="1"/>
      <c r="I160" s="1"/>
      <c r="J160" s="1"/>
      <c r="K160" s="1"/>
      <c r="L160" s="1"/>
      <c r="M160" s="1"/>
      <c r="N160" s="1"/>
      <c r="O160" s="1"/>
      <c r="P160" s="1"/>
      <c r="Q160" s="1"/>
      <c r="R160" s="1"/>
      <c r="T160" s="1125"/>
      <c r="U160" s="1125"/>
      <c r="V160" s="1125"/>
      <c r="W160" s="1125"/>
      <c r="X160" s="1125"/>
      <c r="Y160" s="1125"/>
      <c r="Z160" s="1125"/>
      <c r="AA160" s="1125"/>
      <c r="AB160" s="1125"/>
      <c r="AC160" s="1125"/>
      <c r="AD160" s="1125"/>
      <c r="AE160" s="1125"/>
      <c r="AF160" s="1125"/>
      <c r="AG160" s="1125"/>
      <c r="AH160" s="1125"/>
      <c r="AI160" s="1125"/>
      <c r="AJ160" s="1125"/>
      <c r="AK160" s="1125"/>
      <c r="AL160" s="1125"/>
      <c r="AM160" s="1125"/>
      <c r="AN160" s="1125"/>
      <c r="AO160" s="1125"/>
      <c r="AP160" s="1125"/>
    </row>
    <row r="161" spans="1:42" s="15" customFormat="1" ht="15" customHeight="1" x14ac:dyDescent="0.2">
      <c r="A161" s="346"/>
      <c r="B161" s="346"/>
      <c r="C161" s="346"/>
      <c r="D161" s="346"/>
      <c r="E161" s="346"/>
      <c r="F161" s="346"/>
      <c r="G161" s="1"/>
      <c r="H161" s="1"/>
      <c r="I161" s="1"/>
      <c r="J161" s="1"/>
      <c r="K161" s="1"/>
      <c r="L161" s="1"/>
      <c r="M161" s="1"/>
      <c r="N161" s="1"/>
      <c r="O161" s="1"/>
      <c r="P161" s="1"/>
      <c r="Q161" s="1"/>
      <c r="R161" s="1"/>
      <c r="T161" s="1125"/>
      <c r="U161" s="1125"/>
      <c r="V161" s="1125"/>
      <c r="W161" s="1125"/>
      <c r="X161" s="1125"/>
      <c r="Y161" s="1125"/>
      <c r="Z161" s="1125"/>
      <c r="AA161" s="1125"/>
      <c r="AB161" s="1125"/>
      <c r="AC161" s="1125"/>
      <c r="AD161" s="1125"/>
      <c r="AE161" s="1125"/>
      <c r="AF161" s="1125"/>
      <c r="AG161" s="1125"/>
      <c r="AH161" s="1125"/>
      <c r="AI161" s="1125"/>
      <c r="AJ161" s="1125"/>
      <c r="AK161" s="1125"/>
      <c r="AL161" s="1125"/>
      <c r="AM161" s="1125"/>
      <c r="AN161" s="1125"/>
      <c r="AO161" s="1125"/>
      <c r="AP161" s="1125"/>
    </row>
    <row r="162" spans="1:42" s="15" customFormat="1" ht="27" customHeight="1" x14ac:dyDescent="0.2">
      <c r="A162" s="346"/>
      <c r="B162" s="2173" t="s">
        <v>2080</v>
      </c>
      <c r="C162" s="2173"/>
      <c r="D162" s="2173"/>
      <c r="E162" s="2174"/>
      <c r="F162" s="1018" t="s">
        <v>2081</v>
      </c>
      <c r="G162" s="1"/>
      <c r="H162" s="1"/>
      <c r="I162" s="1"/>
      <c r="J162" s="1"/>
      <c r="K162" s="1"/>
      <c r="L162" s="1"/>
      <c r="M162" s="1"/>
      <c r="N162" s="1"/>
      <c r="O162" s="1"/>
      <c r="P162" s="1"/>
      <c r="Q162" s="1"/>
      <c r="R162" s="1"/>
      <c r="T162" s="1125"/>
      <c r="U162" s="1125"/>
      <c r="V162" s="1125"/>
      <c r="W162" s="1125"/>
      <c r="X162" s="1125"/>
      <c r="Y162" s="1125"/>
      <c r="Z162" s="1125"/>
      <c r="AA162" s="1125"/>
      <c r="AB162" s="1125"/>
      <c r="AC162" s="1125"/>
      <c r="AD162" s="1125"/>
      <c r="AE162" s="1125"/>
      <c r="AF162" s="1125"/>
      <c r="AG162" s="1125"/>
      <c r="AH162" s="1125"/>
      <c r="AI162" s="1125"/>
      <c r="AJ162" s="1125"/>
      <c r="AK162" s="1125"/>
      <c r="AL162" s="1125"/>
      <c r="AM162" s="1125"/>
      <c r="AN162" s="1125"/>
      <c r="AO162" s="1125"/>
      <c r="AP162" s="1125"/>
    </row>
    <row r="163" spans="1:42" s="15" customFormat="1" ht="16.5" customHeight="1" x14ac:dyDescent="0.2">
      <c r="A163" s="346"/>
      <c r="B163" s="2155" t="s">
        <v>2082</v>
      </c>
      <c r="C163" s="2155"/>
      <c r="D163" s="2155"/>
      <c r="E163" s="2155"/>
      <c r="F163" s="2155"/>
      <c r="G163" s="1"/>
      <c r="H163" s="1"/>
      <c r="I163" s="1"/>
      <c r="J163" s="1"/>
      <c r="K163" s="1"/>
      <c r="L163" s="1"/>
      <c r="M163" s="1"/>
      <c r="N163" s="1"/>
      <c r="O163" s="1"/>
      <c r="P163" s="1"/>
      <c r="Q163" s="1"/>
      <c r="R163" s="1"/>
      <c r="T163" s="1125"/>
      <c r="U163" s="1125"/>
      <c r="V163" s="1125"/>
      <c r="W163" s="1125"/>
      <c r="X163" s="1125"/>
      <c r="Y163" s="1125"/>
      <c r="Z163" s="1125"/>
      <c r="AA163" s="1125"/>
      <c r="AB163" s="1125"/>
      <c r="AC163" s="1125"/>
      <c r="AD163" s="1125"/>
      <c r="AE163" s="1125"/>
      <c r="AF163" s="1125"/>
      <c r="AG163" s="1125"/>
      <c r="AH163" s="1125"/>
      <c r="AI163" s="1125"/>
      <c r="AJ163" s="1125"/>
      <c r="AK163" s="1125"/>
      <c r="AL163" s="1125"/>
      <c r="AM163" s="1125"/>
      <c r="AN163" s="1125"/>
      <c r="AO163" s="1125"/>
      <c r="AP163" s="1125"/>
    </row>
    <row r="164" spans="1:42" s="15" customFormat="1" ht="15" customHeight="1" x14ac:dyDescent="0.2">
      <c r="A164" s="346"/>
      <c r="B164" s="2154" t="s">
        <v>2083</v>
      </c>
      <c r="C164" s="2154"/>
      <c r="D164" s="2154"/>
      <c r="E164" s="2154"/>
      <c r="F164" s="1014">
        <v>0.92</v>
      </c>
      <c r="G164" s="1"/>
      <c r="H164" s="1"/>
      <c r="I164" s="1"/>
      <c r="J164" s="1"/>
      <c r="K164" s="1"/>
      <c r="L164" s="1"/>
      <c r="M164" s="1"/>
      <c r="N164" s="1"/>
      <c r="O164" s="1"/>
      <c r="P164" s="1"/>
      <c r="Q164" s="1"/>
      <c r="R164" s="1"/>
      <c r="T164" s="1125"/>
      <c r="U164" s="1125"/>
      <c r="V164" s="1125"/>
      <c r="W164" s="1125"/>
      <c r="X164" s="1125"/>
      <c r="Y164" s="1125"/>
      <c r="Z164" s="1125"/>
      <c r="AA164" s="1125"/>
      <c r="AB164" s="1125"/>
      <c r="AC164" s="1125"/>
      <c r="AD164" s="1125"/>
      <c r="AE164" s="1125"/>
      <c r="AF164" s="1125"/>
      <c r="AG164" s="1125"/>
      <c r="AH164" s="1125"/>
      <c r="AI164" s="1125"/>
      <c r="AJ164" s="1125"/>
      <c r="AK164" s="1125"/>
      <c r="AL164" s="1125"/>
      <c r="AM164" s="1125"/>
      <c r="AN164" s="1125"/>
      <c r="AO164" s="1125"/>
      <c r="AP164" s="1125"/>
    </row>
    <row r="165" spans="1:42" s="15" customFormat="1" ht="15" customHeight="1" x14ac:dyDescent="0.2">
      <c r="A165" s="346"/>
      <c r="B165" s="2154" t="s">
        <v>2084</v>
      </c>
      <c r="C165" s="2154"/>
      <c r="D165" s="2154"/>
      <c r="E165" s="2154"/>
      <c r="F165" s="1014">
        <v>0.9</v>
      </c>
      <c r="G165" s="1"/>
      <c r="H165" s="1"/>
      <c r="I165" s="1"/>
      <c r="J165" s="1"/>
      <c r="K165" s="1"/>
      <c r="L165" s="1"/>
      <c r="M165" s="1"/>
      <c r="N165" s="1"/>
      <c r="O165" s="1"/>
      <c r="P165" s="1"/>
      <c r="Q165" s="1"/>
      <c r="R165" s="1"/>
      <c r="T165" s="1125"/>
      <c r="U165" s="1125"/>
      <c r="V165" s="1125"/>
      <c r="W165" s="1125"/>
      <c r="X165" s="1125"/>
      <c r="Y165" s="1125"/>
      <c r="Z165" s="1125"/>
      <c r="AA165" s="1125"/>
      <c r="AB165" s="1125"/>
      <c r="AC165" s="1125"/>
      <c r="AD165" s="1125"/>
      <c r="AE165" s="1125"/>
      <c r="AF165" s="1125"/>
      <c r="AG165" s="1125"/>
      <c r="AH165" s="1125"/>
      <c r="AI165" s="1125"/>
      <c r="AJ165" s="1125"/>
      <c r="AK165" s="1125"/>
      <c r="AL165" s="1125"/>
      <c r="AM165" s="1125"/>
      <c r="AN165" s="1125"/>
      <c r="AO165" s="1125"/>
      <c r="AP165" s="1125"/>
    </row>
    <row r="166" spans="1:42" s="15" customFormat="1" ht="15" customHeight="1" x14ac:dyDescent="0.2">
      <c r="A166" s="346"/>
      <c r="B166" s="2154" t="s">
        <v>2085</v>
      </c>
      <c r="C166" s="2154"/>
      <c r="D166" s="2154"/>
      <c r="E166" s="2154"/>
      <c r="F166" s="1014">
        <v>0.8</v>
      </c>
      <c r="G166" s="1"/>
      <c r="H166" s="1"/>
      <c r="I166" s="1"/>
      <c r="J166" s="1"/>
      <c r="K166" s="1"/>
      <c r="L166" s="1"/>
      <c r="M166" s="1"/>
      <c r="N166" s="1"/>
      <c r="O166" s="1"/>
      <c r="P166" s="1"/>
      <c r="Q166" s="1"/>
      <c r="R166" s="1"/>
      <c r="T166" s="1125"/>
      <c r="U166" s="1125"/>
      <c r="V166" s="1125"/>
      <c r="W166" s="1125"/>
      <c r="X166" s="1125"/>
      <c r="Y166" s="1125"/>
      <c r="Z166" s="1125"/>
      <c r="AA166" s="1125"/>
      <c r="AB166" s="1125"/>
      <c r="AC166" s="1125"/>
      <c r="AD166" s="1125"/>
      <c r="AE166" s="1125"/>
      <c r="AF166" s="1125"/>
      <c r="AG166" s="1125"/>
      <c r="AH166" s="1125"/>
      <c r="AI166" s="1125"/>
      <c r="AJ166" s="1125"/>
      <c r="AK166" s="1125"/>
      <c r="AL166" s="1125"/>
      <c r="AM166" s="1125"/>
      <c r="AN166" s="1125"/>
      <c r="AO166" s="1125"/>
      <c r="AP166" s="1125"/>
    </row>
    <row r="167" spans="1:42" s="15" customFormat="1" ht="15" customHeight="1" x14ac:dyDescent="0.2">
      <c r="A167" s="346"/>
      <c r="B167" s="2154" t="s">
        <v>2086</v>
      </c>
      <c r="C167" s="2154"/>
      <c r="D167" s="2154"/>
      <c r="E167" s="2154"/>
      <c r="F167" s="1014">
        <v>0.92</v>
      </c>
      <c r="G167" s="1"/>
      <c r="H167" s="1"/>
      <c r="I167" s="1"/>
      <c r="J167" s="1"/>
      <c r="K167" s="1"/>
      <c r="L167" s="1"/>
      <c r="M167" s="1"/>
      <c r="N167" s="1"/>
      <c r="O167" s="1"/>
      <c r="P167" s="1"/>
      <c r="Q167" s="1"/>
      <c r="R167" s="1"/>
      <c r="T167" s="1125"/>
      <c r="U167" s="1125"/>
      <c r="V167" s="1125"/>
      <c r="W167" s="1125"/>
      <c r="X167" s="1125"/>
      <c r="Y167" s="1125"/>
      <c r="Z167" s="1125"/>
      <c r="AA167" s="1125"/>
      <c r="AB167" s="1125"/>
      <c r="AC167" s="1125"/>
      <c r="AD167" s="1125"/>
      <c r="AE167" s="1125"/>
      <c r="AF167" s="1125"/>
      <c r="AG167" s="1125"/>
      <c r="AH167" s="1125"/>
      <c r="AI167" s="1125"/>
      <c r="AJ167" s="1125"/>
      <c r="AK167" s="1125"/>
      <c r="AL167" s="1125"/>
      <c r="AM167" s="1125"/>
      <c r="AN167" s="1125"/>
      <c r="AO167" s="1125"/>
      <c r="AP167" s="1125"/>
    </row>
    <row r="168" spans="1:42" s="15" customFormat="1" ht="15" customHeight="1" x14ac:dyDescent="0.2">
      <c r="A168" s="346"/>
      <c r="B168" s="2154" t="s">
        <v>2087</v>
      </c>
      <c r="C168" s="2154"/>
      <c r="D168" s="2154"/>
      <c r="E168" s="2154"/>
      <c r="F168" s="1014">
        <v>0.7</v>
      </c>
      <c r="G168" s="1"/>
      <c r="H168" s="1"/>
      <c r="I168" s="1"/>
      <c r="J168" s="1"/>
      <c r="K168" s="1"/>
      <c r="L168" s="1"/>
      <c r="M168" s="1"/>
      <c r="N168" s="1"/>
      <c r="O168" s="1"/>
      <c r="P168" s="1"/>
      <c r="Q168" s="1"/>
      <c r="R168" s="1"/>
      <c r="T168" s="1125"/>
      <c r="U168" s="1125"/>
      <c r="V168" s="1125"/>
      <c r="W168" s="1125"/>
      <c r="X168" s="1125"/>
      <c r="Y168" s="1125"/>
      <c r="Z168" s="1125"/>
      <c r="AA168" s="1125"/>
      <c r="AB168" s="1125"/>
      <c r="AC168" s="1125"/>
      <c r="AD168" s="1125"/>
      <c r="AE168" s="1125"/>
      <c r="AF168" s="1125"/>
      <c r="AG168" s="1125"/>
      <c r="AH168" s="1125"/>
      <c r="AI168" s="1125"/>
      <c r="AJ168" s="1125"/>
      <c r="AK168" s="1125"/>
      <c r="AL168" s="1125"/>
      <c r="AM168" s="1125"/>
      <c r="AN168" s="1125"/>
      <c r="AO168" s="1125"/>
      <c r="AP168" s="1125"/>
    </row>
    <row r="169" spans="1:42" s="15" customFormat="1" ht="15" customHeight="1" x14ac:dyDescent="0.2">
      <c r="A169" s="346"/>
      <c r="B169" s="2154" t="s">
        <v>2088</v>
      </c>
      <c r="C169" s="2154"/>
      <c r="D169" s="2154"/>
      <c r="E169" s="2154"/>
      <c r="F169" s="1014">
        <v>0.5</v>
      </c>
      <c r="G169" s="1"/>
      <c r="H169" s="1"/>
      <c r="I169" s="1"/>
      <c r="J169" s="1"/>
      <c r="K169" s="1"/>
      <c r="L169" s="1"/>
      <c r="M169" s="1"/>
      <c r="N169" s="1"/>
      <c r="O169" s="1"/>
      <c r="P169" s="1"/>
      <c r="Q169" s="1"/>
      <c r="R169" s="1"/>
      <c r="T169" s="1125"/>
      <c r="U169" s="1125"/>
      <c r="V169" s="1125"/>
      <c r="W169" s="1125"/>
      <c r="X169" s="1125"/>
      <c r="Y169" s="1125"/>
      <c r="Z169" s="1125"/>
      <c r="AA169" s="1125"/>
      <c r="AB169" s="1125"/>
      <c r="AC169" s="1125"/>
      <c r="AD169" s="1125"/>
      <c r="AE169" s="1125"/>
      <c r="AF169" s="1125"/>
      <c r="AG169" s="1125"/>
      <c r="AH169" s="1125"/>
      <c r="AI169" s="1125"/>
      <c r="AJ169" s="1125"/>
      <c r="AK169" s="1125"/>
      <c r="AL169" s="1125"/>
      <c r="AM169" s="1125"/>
      <c r="AN169" s="1125"/>
      <c r="AO169" s="1125"/>
      <c r="AP169" s="1125"/>
    </row>
    <row r="170" spans="1:42" s="15" customFormat="1" ht="16.5" customHeight="1" x14ac:dyDescent="0.2">
      <c r="A170" s="346"/>
      <c r="B170" s="2155" t="s">
        <v>2089</v>
      </c>
      <c r="C170" s="2155"/>
      <c r="D170" s="2155"/>
      <c r="E170" s="2155"/>
      <c r="F170" s="2155"/>
      <c r="G170" s="1"/>
      <c r="H170" s="1"/>
      <c r="I170" s="1"/>
      <c r="J170" s="1"/>
      <c r="K170" s="1"/>
      <c r="L170" s="1"/>
      <c r="M170" s="1"/>
      <c r="N170" s="1"/>
      <c r="O170" s="1"/>
      <c r="P170" s="1"/>
      <c r="Q170" s="1"/>
      <c r="R170" s="1"/>
      <c r="T170" s="1125"/>
      <c r="U170" s="1125"/>
      <c r="V170" s="1125"/>
      <c r="W170" s="1125"/>
      <c r="X170" s="1125"/>
      <c r="Y170" s="1125"/>
      <c r="Z170" s="1125"/>
      <c r="AA170" s="1125"/>
      <c r="AB170" s="1125"/>
      <c r="AC170" s="1125"/>
      <c r="AD170" s="1125"/>
      <c r="AE170" s="1125"/>
      <c r="AF170" s="1125"/>
      <c r="AG170" s="1125"/>
      <c r="AH170" s="1125"/>
      <c r="AI170" s="1125"/>
      <c r="AJ170" s="1125"/>
      <c r="AK170" s="1125"/>
      <c r="AL170" s="1125"/>
      <c r="AM170" s="1125"/>
      <c r="AN170" s="1125"/>
      <c r="AO170" s="1125"/>
      <c r="AP170" s="1125"/>
    </row>
    <row r="171" spans="1:42" s="15" customFormat="1" ht="15" customHeight="1" x14ac:dyDescent="0.2">
      <c r="A171" s="346"/>
      <c r="B171" s="2154" t="s">
        <v>2091</v>
      </c>
      <c r="C171" s="2154"/>
      <c r="D171" s="2154"/>
      <c r="E171" s="2154"/>
      <c r="F171" s="1014">
        <v>0.1</v>
      </c>
      <c r="G171" s="1"/>
      <c r="H171" s="1"/>
      <c r="I171" s="1"/>
      <c r="J171" s="1"/>
      <c r="K171" s="1"/>
      <c r="L171" s="1"/>
      <c r="M171" s="1"/>
      <c r="N171" s="1"/>
      <c r="O171" s="1"/>
      <c r="P171" s="1"/>
      <c r="Q171" s="1"/>
      <c r="R171" s="1"/>
      <c r="T171" s="1125"/>
      <c r="U171" s="1125"/>
      <c r="V171" s="1125"/>
      <c r="W171" s="1125"/>
      <c r="X171" s="1125"/>
      <c r="Y171" s="1125"/>
      <c r="Z171" s="1125"/>
      <c r="AA171" s="1125"/>
      <c r="AB171" s="1125"/>
      <c r="AC171" s="1125"/>
      <c r="AD171" s="1125"/>
      <c r="AE171" s="1125"/>
      <c r="AF171" s="1125"/>
      <c r="AG171" s="1125"/>
      <c r="AH171" s="1125"/>
      <c r="AI171" s="1125"/>
      <c r="AJ171" s="1125"/>
      <c r="AK171" s="1125"/>
      <c r="AL171" s="1125"/>
      <c r="AM171" s="1125"/>
      <c r="AN171" s="1125"/>
      <c r="AO171" s="1125"/>
      <c r="AP171" s="1125"/>
    </row>
    <row r="172" spans="1:42" s="15" customFormat="1" ht="15" customHeight="1" x14ac:dyDescent="0.2">
      <c r="A172" s="346"/>
      <c r="B172" s="2154" t="s">
        <v>2092</v>
      </c>
      <c r="C172" s="2154"/>
      <c r="D172" s="2154"/>
      <c r="E172" s="2154"/>
      <c r="F172" s="1014">
        <v>0.15</v>
      </c>
      <c r="G172" s="1"/>
      <c r="H172" s="1"/>
      <c r="I172" s="1"/>
      <c r="J172" s="1"/>
      <c r="K172" s="1"/>
      <c r="L172" s="1"/>
      <c r="M172" s="1"/>
      <c r="N172" s="1"/>
      <c r="O172" s="1"/>
      <c r="P172" s="1"/>
      <c r="Q172" s="1"/>
      <c r="R172" s="1"/>
      <c r="T172" s="1125"/>
      <c r="U172" s="1125"/>
      <c r="V172" s="1125"/>
      <c r="W172" s="1125"/>
      <c r="X172" s="1125"/>
      <c r="Y172" s="1125"/>
      <c r="Z172" s="1125"/>
      <c r="AA172" s="1125"/>
      <c r="AB172" s="1125"/>
      <c r="AC172" s="1125"/>
      <c r="AD172" s="1125"/>
      <c r="AE172" s="1125"/>
      <c r="AF172" s="1125"/>
      <c r="AG172" s="1125"/>
      <c r="AH172" s="1125"/>
      <c r="AI172" s="1125"/>
      <c r="AJ172" s="1125"/>
      <c r="AK172" s="1125"/>
      <c r="AL172" s="1125"/>
      <c r="AM172" s="1125"/>
      <c r="AN172" s="1125"/>
      <c r="AO172" s="1125"/>
      <c r="AP172" s="1125"/>
    </row>
    <row r="173" spans="1:42" s="15" customFormat="1" ht="15" customHeight="1" x14ac:dyDescent="0.2">
      <c r="A173" s="346"/>
      <c r="B173" s="2154" t="s">
        <v>2093</v>
      </c>
      <c r="C173" s="2154"/>
      <c r="D173" s="2154"/>
      <c r="E173" s="2154"/>
      <c r="F173" s="1014">
        <v>0.2</v>
      </c>
      <c r="G173" s="1"/>
      <c r="H173" s="1"/>
      <c r="I173" s="1"/>
      <c r="J173" s="1"/>
      <c r="K173" s="1"/>
      <c r="L173" s="1"/>
      <c r="M173" s="1"/>
      <c r="N173" s="1"/>
      <c r="O173" s="1"/>
      <c r="P173" s="1"/>
      <c r="Q173" s="1"/>
      <c r="R173" s="1"/>
      <c r="T173" s="1125"/>
      <c r="U173" s="1125"/>
      <c r="V173" s="1125"/>
      <c r="W173" s="1125"/>
      <c r="X173" s="1125"/>
      <c r="Y173" s="1125"/>
      <c r="Z173" s="1125"/>
      <c r="AA173" s="1125"/>
      <c r="AB173" s="1125"/>
      <c r="AC173" s="1125"/>
      <c r="AD173" s="1125"/>
      <c r="AE173" s="1125"/>
      <c r="AF173" s="1125"/>
      <c r="AG173" s="1125"/>
      <c r="AH173" s="1125"/>
      <c r="AI173" s="1125"/>
      <c r="AJ173" s="1125"/>
      <c r="AK173" s="1125"/>
      <c r="AL173" s="1125"/>
      <c r="AM173" s="1125"/>
      <c r="AN173" s="1125"/>
      <c r="AO173" s="1125"/>
      <c r="AP173" s="1125"/>
    </row>
    <row r="174" spans="1:42" s="15" customFormat="1" ht="16.5" customHeight="1" x14ac:dyDescent="0.2">
      <c r="A174" s="346"/>
      <c r="B174" s="2155" t="s">
        <v>2090</v>
      </c>
      <c r="C174" s="2155"/>
      <c r="D174" s="2155"/>
      <c r="E174" s="2155"/>
      <c r="F174" s="2155">
        <v>0.6</v>
      </c>
      <c r="G174" s="1"/>
      <c r="H174" s="1"/>
      <c r="I174" s="1"/>
      <c r="J174" s="1"/>
      <c r="K174" s="1"/>
      <c r="L174" s="1"/>
      <c r="M174" s="1"/>
      <c r="N174" s="1"/>
      <c r="O174" s="1"/>
      <c r="P174" s="1"/>
      <c r="Q174" s="1"/>
      <c r="R174" s="1"/>
      <c r="T174" s="1125"/>
      <c r="U174" s="1125"/>
      <c r="V174" s="1125"/>
      <c r="W174" s="1125"/>
      <c r="X174" s="1125"/>
      <c r="Y174" s="1125"/>
      <c r="Z174" s="1125"/>
      <c r="AA174" s="1125"/>
      <c r="AB174" s="1125"/>
      <c r="AC174" s="1125"/>
      <c r="AD174" s="1125"/>
      <c r="AE174" s="1125"/>
      <c r="AF174" s="1125"/>
      <c r="AG174" s="1125"/>
      <c r="AH174" s="1125"/>
      <c r="AI174" s="1125"/>
      <c r="AJ174" s="1125"/>
      <c r="AK174" s="1125"/>
      <c r="AL174" s="1125"/>
      <c r="AM174" s="1125"/>
      <c r="AN174" s="1125"/>
      <c r="AO174" s="1125"/>
      <c r="AP174" s="1125"/>
    </row>
    <row r="175" spans="1:42" s="15" customFormat="1" ht="15" customHeight="1" x14ac:dyDescent="0.2">
      <c r="A175" s="346"/>
      <c r="B175" s="2154" t="s">
        <v>2091</v>
      </c>
      <c r="C175" s="2154"/>
      <c r="D175" s="2154"/>
      <c r="E175" s="2154"/>
      <c r="F175" s="1014">
        <v>0.15</v>
      </c>
      <c r="G175" s="1"/>
      <c r="H175" s="1"/>
      <c r="I175" s="1"/>
      <c r="J175" s="1"/>
      <c r="K175" s="1"/>
      <c r="L175" s="1"/>
      <c r="M175" s="1"/>
      <c r="N175" s="1"/>
      <c r="O175" s="1"/>
      <c r="P175" s="1"/>
      <c r="Q175" s="1"/>
      <c r="R175" s="1"/>
      <c r="T175" s="1125"/>
      <c r="U175" s="1125"/>
      <c r="V175" s="1125"/>
      <c r="W175" s="1125"/>
      <c r="X175" s="1125"/>
      <c r="Y175" s="1125"/>
      <c r="Z175" s="1125"/>
      <c r="AA175" s="1125"/>
      <c r="AB175" s="1125"/>
      <c r="AC175" s="1125"/>
      <c r="AD175" s="1125"/>
      <c r="AE175" s="1125"/>
      <c r="AF175" s="1125"/>
      <c r="AG175" s="1125"/>
      <c r="AH175" s="1125"/>
      <c r="AI175" s="1125"/>
      <c r="AJ175" s="1125"/>
      <c r="AK175" s="1125"/>
      <c r="AL175" s="1125"/>
      <c r="AM175" s="1125"/>
      <c r="AN175" s="1125"/>
      <c r="AO175" s="1125"/>
      <c r="AP175" s="1125"/>
    </row>
    <row r="176" spans="1:42" s="15" customFormat="1" ht="15" customHeight="1" x14ac:dyDescent="0.2">
      <c r="A176" s="346"/>
      <c r="B176" s="2154" t="s">
        <v>2092</v>
      </c>
      <c r="C176" s="2154"/>
      <c r="D176" s="2154"/>
      <c r="E176" s="2154"/>
      <c r="F176" s="1014">
        <v>0.2</v>
      </c>
      <c r="G176" s="1"/>
      <c r="H176" s="1"/>
      <c r="I176" s="1"/>
      <c r="J176" s="1"/>
      <c r="K176" s="1"/>
      <c r="L176" s="1"/>
      <c r="M176" s="1"/>
      <c r="N176" s="1"/>
      <c r="O176" s="1"/>
      <c r="P176" s="1"/>
      <c r="Q176" s="1"/>
      <c r="R176" s="1"/>
      <c r="T176" s="1125"/>
      <c r="U176" s="1125"/>
      <c r="V176" s="1125"/>
      <c r="W176" s="1125"/>
      <c r="X176" s="1125"/>
      <c r="Y176" s="1125"/>
      <c r="Z176" s="1125"/>
      <c r="AA176" s="1125"/>
      <c r="AB176" s="1125"/>
      <c r="AC176" s="1125"/>
      <c r="AD176" s="1125"/>
      <c r="AE176" s="1125"/>
      <c r="AF176" s="1125"/>
      <c r="AG176" s="1125"/>
      <c r="AH176" s="1125"/>
      <c r="AI176" s="1125"/>
      <c r="AJ176" s="1125"/>
      <c r="AK176" s="1125"/>
      <c r="AL176" s="1125"/>
      <c r="AM176" s="1125"/>
      <c r="AN176" s="1125"/>
      <c r="AO176" s="1125"/>
      <c r="AP176" s="1125"/>
    </row>
    <row r="177" spans="1:42" s="15" customFormat="1" ht="15" customHeight="1" x14ac:dyDescent="0.2">
      <c r="A177" s="346"/>
      <c r="B177" s="2154" t="s">
        <v>2093</v>
      </c>
      <c r="C177" s="2154"/>
      <c r="D177" s="2154"/>
      <c r="E177" s="2154"/>
      <c r="F177" s="1014">
        <v>0.25</v>
      </c>
      <c r="G177" s="1"/>
      <c r="H177" s="1"/>
      <c r="I177" s="1"/>
      <c r="J177" s="1"/>
      <c r="K177" s="1"/>
      <c r="L177" s="1"/>
      <c r="M177" s="1"/>
      <c r="N177" s="1"/>
      <c r="O177" s="1"/>
      <c r="P177" s="1"/>
      <c r="Q177" s="1"/>
      <c r="R177" s="1"/>
      <c r="T177" s="1125"/>
      <c r="U177" s="1125"/>
      <c r="V177" s="1125"/>
      <c r="W177" s="1125"/>
      <c r="X177" s="1125"/>
      <c r="Y177" s="1125"/>
      <c r="Z177" s="1125"/>
      <c r="AA177" s="1125"/>
      <c r="AB177" s="1125"/>
      <c r="AC177" s="1125"/>
      <c r="AD177" s="1125"/>
      <c r="AE177" s="1125"/>
      <c r="AF177" s="1125"/>
      <c r="AG177" s="1125"/>
      <c r="AH177" s="1125"/>
      <c r="AI177" s="1125"/>
      <c r="AJ177" s="1125"/>
      <c r="AK177" s="1125"/>
      <c r="AL177" s="1125"/>
      <c r="AM177" s="1125"/>
      <c r="AN177" s="1125"/>
      <c r="AO177" s="1125"/>
      <c r="AP177" s="1125"/>
    </row>
    <row r="178" spans="1:42" s="15" customFormat="1" ht="16.5" customHeight="1" x14ac:dyDescent="0.2">
      <c r="A178" s="346"/>
      <c r="B178" s="2155" t="s">
        <v>2095</v>
      </c>
      <c r="C178" s="2155"/>
      <c r="D178" s="2155"/>
      <c r="E178" s="2155"/>
      <c r="F178" s="2155">
        <v>0.6</v>
      </c>
      <c r="G178" s="1"/>
      <c r="H178" s="1"/>
      <c r="I178" s="1"/>
      <c r="J178" s="1"/>
      <c r="K178" s="1"/>
      <c r="L178" s="1"/>
      <c r="M178" s="1"/>
      <c r="N178" s="1"/>
      <c r="O178" s="1"/>
      <c r="P178" s="1"/>
      <c r="Q178" s="1"/>
      <c r="R178" s="1"/>
      <c r="T178" s="1125"/>
      <c r="U178" s="1125"/>
      <c r="V178" s="1125"/>
      <c r="W178" s="1125"/>
      <c r="X178" s="1125"/>
      <c r="Y178" s="1125"/>
      <c r="Z178" s="1125"/>
      <c r="AA178" s="1125"/>
      <c r="AB178" s="1125"/>
      <c r="AC178" s="1125"/>
      <c r="AD178" s="1125"/>
      <c r="AE178" s="1125"/>
      <c r="AF178" s="1125"/>
      <c r="AG178" s="1125"/>
      <c r="AH178" s="1125"/>
      <c r="AI178" s="1125"/>
      <c r="AJ178" s="1125"/>
      <c r="AK178" s="1125"/>
      <c r="AL178" s="1125"/>
      <c r="AM178" s="1125"/>
      <c r="AN178" s="1125"/>
      <c r="AO178" s="1125"/>
      <c r="AP178" s="1125"/>
    </row>
    <row r="179" spans="1:42" s="15" customFormat="1" ht="15" customHeight="1" x14ac:dyDescent="0.2">
      <c r="A179" s="346"/>
      <c r="B179" s="2154" t="s">
        <v>2094</v>
      </c>
      <c r="C179" s="2154"/>
      <c r="D179" s="2154"/>
      <c r="E179" s="2154"/>
      <c r="F179" s="1014">
        <v>0.15</v>
      </c>
      <c r="G179" s="1"/>
      <c r="H179" s="1"/>
      <c r="I179" s="1"/>
      <c r="J179" s="1"/>
      <c r="K179" s="1"/>
      <c r="L179" s="1"/>
      <c r="M179" s="1"/>
      <c r="N179" s="1"/>
      <c r="O179" s="1"/>
      <c r="P179" s="1"/>
      <c r="Q179" s="1"/>
      <c r="R179" s="1"/>
      <c r="T179" s="1125"/>
      <c r="U179" s="1125"/>
      <c r="V179" s="1125"/>
      <c r="W179" s="1125"/>
      <c r="X179" s="1125"/>
      <c r="Y179" s="1125"/>
      <c r="Z179" s="1125"/>
      <c r="AA179" s="1125"/>
      <c r="AB179" s="1125"/>
      <c r="AC179" s="1125"/>
      <c r="AD179" s="1125"/>
      <c r="AE179" s="1125"/>
      <c r="AF179" s="1125"/>
      <c r="AG179" s="1125"/>
      <c r="AH179" s="1125"/>
      <c r="AI179" s="1125"/>
      <c r="AJ179" s="1125"/>
      <c r="AK179" s="1125"/>
      <c r="AL179" s="1125"/>
      <c r="AM179" s="1125"/>
      <c r="AN179" s="1125"/>
      <c r="AO179" s="1125"/>
      <c r="AP179" s="1125"/>
    </row>
    <row r="180" spans="1:42" s="15" customFormat="1" ht="15" customHeight="1" x14ac:dyDescent="0.2">
      <c r="A180" s="346"/>
      <c r="B180" s="2154" t="s">
        <v>2096</v>
      </c>
      <c r="C180" s="2154"/>
      <c r="D180" s="2154"/>
      <c r="E180" s="2154"/>
      <c r="F180" s="1014">
        <v>0.25</v>
      </c>
      <c r="G180" s="1"/>
      <c r="H180" s="1"/>
      <c r="I180" s="1"/>
      <c r="J180" s="1"/>
      <c r="K180" s="1"/>
      <c r="L180" s="1"/>
      <c r="M180" s="1"/>
      <c r="N180" s="1"/>
      <c r="O180" s="1"/>
      <c r="P180" s="1"/>
      <c r="Q180" s="1"/>
      <c r="R180" s="1"/>
      <c r="T180" s="1125"/>
      <c r="U180" s="1125"/>
      <c r="V180" s="1125"/>
      <c r="W180" s="1125"/>
      <c r="X180" s="1125"/>
      <c r="Y180" s="1125"/>
      <c r="Z180" s="1125"/>
      <c r="AA180" s="1125"/>
      <c r="AB180" s="1125"/>
      <c r="AC180" s="1125"/>
      <c r="AD180" s="1125"/>
      <c r="AE180" s="1125"/>
      <c r="AF180" s="1125"/>
      <c r="AG180" s="1125"/>
      <c r="AH180" s="1125"/>
      <c r="AI180" s="1125"/>
      <c r="AJ180" s="1125"/>
      <c r="AK180" s="1125"/>
      <c r="AL180" s="1125"/>
      <c r="AM180" s="1125"/>
      <c r="AN180" s="1125"/>
      <c r="AO180" s="1125"/>
      <c r="AP180" s="1125"/>
    </row>
    <row r="181" spans="1:42" s="15" customFormat="1" ht="15" customHeight="1" x14ac:dyDescent="0.2">
      <c r="A181" s="346"/>
      <c r="B181" s="1042" t="s">
        <v>2097</v>
      </c>
      <c r="C181" s="346"/>
      <c r="D181" s="346"/>
      <c r="E181" s="346"/>
      <c r="F181" s="346"/>
      <c r="G181" s="1"/>
      <c r="H181" s="1"/>
      <c r="I181" s="1"/>
      <c r="J181" s="1"/>
      <c r="K181" s="1"/>
      <c r="L181" s="1"/>
      <c r="M181" s="1"/>
      <c r="N181" s="1"/>
      <c r="O181" s="1"/>
      <c r="P181" s="1"/>
      <c r="Q181" s="1"/>
      <c r="R181" s="1"/>
      <c r="T181" s="1125"/>
      <c r="U181" s="1125"/>
      <c r="V181" s="1125"/>
      <c r="W181" s="1125"/>
      <c r="X181" s="1125"/>
      <c r="Y181" s="1125"/>
      <c r="Z181" s="1125"/>
      <c r="AA181" s="1125"/>
      <c r="AB181" s="1125"/>
      <c r="AC181" s="1125"/>
      <c r="AD181" s="1125"/>
      <c r="AE181" s="1125"/>
      <c r="AF181" s="1125"/>
      <c r="AG181" s="1125"/>
      <c r="AH181" s="1125"/>
      <c r="AI181" s="1125"/>
      <c r="AJ181" s="1125"/>
      <c r="AK181" s="1125"/>
      <c r="AL181" s="1125"/>
      <c r="AM181" s="1125"/>
      <c r="AN181" s="1125"/>
      <c r="AO181" s="1125"/>
      <c r="AP181" s="1125"/>
    </row>
    <row r="182" spans="1:42" s="15" customFormat="1" ht="15" customHeight="1" x14ac:dyDescent="0.2">
      <c r="A182" s="346"/>
      <c r="B182" s="346"/>
      <c r="C182" s="346"/>
      <c r="D182" s="346"/>
      <c r="E182" s="346"/>
      <c r="F182" s="346"/>
      <c r="G182" s="1"/>
      <c r="H182" s="1"/>
      <c r="I182" s="1"/>
      <c r="J182" s="1"/>
      <c r="K182" s="1"/>
      <c r="L182" s="1"/>
      <c r="M182" s="1"/>
      <c r="N182" s="1"/>
      <c r="O182" s="1"/>
      <c r="P182" s="1"/>
      <c r="Q182" s="1"/>
      <c r="R182" s="1"/>
      <c r="T182" s="1125"/>
      <c r="U182" s="1125"/>
      <c r="V182" s="1125"/>
      <c r="W182" s="1125"/>
      <c r="X182" s="1125"/>
      <c r="Y182" s="1125"/>
      <c r="Z182" s="1125"/>
      <c r="AA182" s="1125"/>
      <c r="AB182" s="1125"/>
      <c r="AC182" s="1125"/>
      <c r="AD182" s="1125"/>
      <c r="AE182" s="1125"/>
      <c r="AF182" s="1125"/>
      <c r="AG182" s="1125"/>
      <c r="AH182" s="1125"/>
      <c r="AI182" s="1125"/>
      <c r="AJ182" s="1125"/>
      <c r="AK182" s="1125"/>
      <c r="AL182" s="1125"/>
      <c r="AM182" s="1125"/>
      <c r="AN182" s="1125"/>
      <c r="AO182" s="1125"/>
      <c r="AP182" s="1125"/>
    </row>
    <row r="183" spans="1:42" hidden="1" x14ac:dyDescent="0.25">
      <c r="T183" s="1125"/>
      <c r="U183" s="1125"/>
      <c r="V183" s="1125"/>
      <c r="W183" s="1125"/>
      <c r="X183" s="1125"/>
      <c r="Y183" s="1125"/>
      <c r="Z183" s="1125"/>
      <c r="AA183" s="1125"/>
      <c r="AB183" s="1125"/>
      <c r="AC183" s="1125"/>
      <c r="AD183" s="1125"/>
      <c r="AE183" s="1125"/>
      <c r="AF183" s="1125"/>
      <c r="AG183" s="1125"/>
      <c r="AH183" s="1125"/>
      <c r="AI183" s="1125"/>
      <c r="AJ183" s="1125"/>
      <c r="AK183" s="1125"/>
      <c r="AL183" s="1125"/>
      <c r="AM183" s="1125"/>
      <c r="AN183" s="1125"/>
      <c r="AO183" s="1125"/>
      <c r="AP183" s="1125"/>
    </row>
    <row r="184" spans="1:42" hidden="1" x14ac:dyDescent="0.25">
      <c r="T184" s="1125"/>
      <c r="U184" s="1125"/>
      <c r="V184" s="1125"/>
      <c r="W184" s="1125"/>
      <c r="X184" s="1125"/>
      <c r="Y184" s="1125"/>
      <c r="Z184" s="1125"/>
      <c r="AA184" s="1125"/>
      <c r="AB184" s="1125"/>
      <c r="AC184" s="1125"/>
      <c r="AD184" s="1125"/>
      <c r="AE184" s="1125"/>
      <c r="AF184" s="1125"/>
      <c r="AG184" s="1125"/>
      <c r="AH184" s="1125"/>
      <c r="AI184" s="1125"/>
      <c r="AJ184" s="1125"/>
      <c r="AK184" s="1125"/>
      <c r="AL184" s="1125"/>
      <c r="AM184" s="1125"/>
      <c r="AN184" s="1125"/>
      <c r="AO184" s="1125"/>
      <c r="AP184" s="1125"/>
    </row>
    <row r="185" spans="1:42" hidden="1" x14ac:dyDescent="0.25">
      <c r="T185" s="1125"/>
      <c r="U185" s="1125"/>
      <c r="V185" s="1125"/>
      <c r="W185" s="1125"/>
      <c r="X185" s="1125"/>
      <c r="Y185" s="1125"/>
      <c r="Z185" s="1125"/>
      <c r="AA185" s="1125"/>
      <c r="AB185" s="1125"/>
      <c r="AC185" s="1125"/>
      <c r="AD185" s="1125"/>
      <c r="AE185" s="1125"/>
      <c r="AF185" s="1125"/>
      <c r="AG185" s="1125"/>
      <c r="AH185" s="1125"/>
      <c r="AI185" s="1125"/>
      <c r="AJ185" s="1125"/>
      <c r="AK185" s="1125"/>
      <c r="AL185" s="1125"/>
      <c r="AM185" s="1125"/>
      <c r="AN185" s="1125"/>
      <c r="AO185" s="1125"/>
      <c r="AP185" s="1125"/>
    </row>
    <row r="186" spans="1:42" hidden="1" x14ac:dyDescent="0.25">
      <c r="T186" s="1125"/>
      <c r="U186" s="1125"/>
      <c r="V186" s="1125"/>
      <c r="W186" s="1125"/>
      <c r="X186" s="1125"/>
      <c r="Y186" s="1125"/>
      <c r="Z186" s="1125"/>
      <c r="AA186" s="1125"/>
      <c r="AB186" s="1125"/>
      <c r="AC186" s="1125"/>
      <c r="AD186" s="1125"/>
      <c r="AE186" s="1125"/>
      <c r="AF186" s="1125"/>
      <c r="AG186" s="1125"/>
      <c r="AH186" s="1125"/>
      <c r="AI186" s="1125"/>
      <c r="AJ186" s="1125"/>
      <c r="AK186" s="1125"/>
      <c r="AL186" s="1125"/>
      <c r="AM186" s="1125"/>
      <c r="AN186" s="1125"/>
      <c r="AO186" s="1125"/>
      <c r="AP186" s="1125"/>
    </row>
    <row r="187" spans="1:42" hidden="1" x14ac:dyDescent="0.25">
      <c r="T187" s="1125"/>
      <c r="U187" s="1125"/>
      <c r="V187" s="1125"/>
      <c r="W187" s="1125"/>
      <c r="X187" s="1125"/>
      <c r="Y187" s="1125"/>
      <c r="Z187" s="1125"/>
      <c r="AA187" s="1125"/>
      <c r="AB187" s="1125"/>
      <c r="AC187" s="1125"/>
      <c r="AD187" s="1125"/>
      <c r="AE187" s="1125"/>
      <c r="AF187" s="1125"/>
      <c r="AG187" s="1125"/>
      <c r="AH187" s="1125"/>
      <c r="AI187" s="1125"/>
      <c r="AJ187" s="1125"/>
      <c r="AK187" s="1125"/>
      <c r="AL187" s="1125"/>
      <c r="AM187" s="1125"/>
      <c r="AN187" s="1125"/>
      <c r="AO187" s="1125"/>
      <c r="AP187" s="1125"/>
    </row>
    <row r="188" spans="1:42" hidden="1" x14ac:dyDescent="0.25">
      <c r="T188" s="1125"/>
      <c r="U188" s="1125"/>
      <c r="V188" s="1125"/>
      <c r="W188" s="1125"/>
      <c r="X188" s="1125"/>
      <c r="Y188" s="1125"/>
      <c r="Z188" s="1125"/>
      <c r="AA188" s="1125"/>
      <c r="AB188" s="1125"/>
      <c r="AC188" s="1125"/>
      <c r="AD188" s="1125"/>
      <c r="AE188" s="1125"/>
      <c r="AF188" s="1125"/>
      <c r="AG188" s="1125"/>
      <c r="AH188" s="1125"/>
      <c r="AI188" s="1125"/>
      <c r="AJ188" s="1125"/>
      <c r="AK188" s="1125"/>
      <c r="AL188" s="1125"/>
      <c r="AM188" s="1125"/>
      <c r="AN188" s="1125"/>
      <c r="AO188" s="1125"/>
      <c r="AP188" s="1125"/>
    </row>
    <row r="189" spans="1:42" hidden="1" x14ac:dyDescent="0.25">
      <c r="T189" s="1125"/>
      <c r="U189" s="1125"/>
      <c r="V189" s="1125"/>
      <c r="W189" s="1125"/>
      <c r="X189" s="1125"/>
      <c r="Y189" s="1125"/>
      <c r="Z189" s="1125"/>
      <c r="AA189" s="1125"/>
      <c r="AB189" s="1125"/>
      <c r="AC189" s="1125"/>
      <c r="AD189" s="1125"/>
      <c r="AE189" s="1125"/>
      <c r="AF189" s="1125"/>
      <c r="AG189" s="1125"/>
      <c r="AH189" s="1125"/>
      <c r="AI189" s="1125"/>
      <c r="AJ189" s="1125"/>
      <c r="AK189" s="1125"/>
      <c r="AL189" s="1125"/>
      <c r="AM189" s="1125"/>
      <c r="AN189" s="1125"/>
      <c r="AO189" s="1125"/>
      <c r="AP189" s="1125"/>
    </row>
    <row r="190" spans="1:42" hidden="1" x14ac:dyDescent="0.25">
      <c r="T190" s="1125"/>
      <c r="U190" s="1125"/>
      <c r="V190" s="1125"/>
      <c r="W190" s="1125"/>
      <c r="X190" s="1125"/>
      <c r="Y190" s="1125"/>
      <c r="Z190" s="1125"/>
      <c r="AA190" s="1125"/>
      <c r="AB190" s="1125"/>
      <c r="AC190" s="1125"/>
      <c r="AD190" s="1125"/>
      <c r="AE190" s="1125"/>
      <c r="AF190" s="1125"/>
      <c r="AG190" s="1125"/>
      <c r="AH190" s="1125"/>
      <c r="AI190" s="1125"/>
      <c r="AJ190" s="1125"/>
      <c r="AK190" s="1125"/>
      <c r="AL190" s="1125"/>
      <c r="AM190" s="1125"/>
      <c r="AN190" s="1125"/>
      <c r="AO190" s="1125"/>
      <c r="AP190" s="1125"/>
    </row>
    <row r="191" spans="1:42" hidden="1" x14ac:dyDescent="0.25">
      <c r="T191" s="1125"/>
      <c r="U191" s="1125"/>
      <c r="V191" s="1125"/>
      <c r="W191" s="1125"/>
      <c r="X191" s="1125"/>
      <c r="Y191" s="1125"/>
      <c r="Z191" s="1125"/>
      <c r="AA191" s="1125"/>
      <c r="AB191" s="1125"/>
      <c r="AC191" s="1125"/>
      <c r="AD191" s="1125"/>
      <c r="AE191" s="1125"/>
      <c r="AF191" s="1125"/>
      <c r="AG191" s="1125"/>
      <c r="AH191" s="1125"/>
      <c r="AI191" s="1125"/>
      <c r="AJ191" s="1125"/>
      <c r="AK191" s="1125"/>
      <c r="AL191" s="1125"/>
      <c r="AM191" s="1125"/>
      <c r="AN191" s="1125"/>
      <c r="AO191" s="1125"/>
      <c r="AP191" s="1125"/>
    </row>
    <row r="192" spans="1:42" hidden="1" x14ac:dyDescent="0.25">
      <c r="T192" s="1125"/>
      <c r="U192" s="1125"/>
      <c r="V192" s="1125"/>
      <c r="W192" s="1125"/>
      <c r="X192" s="1125"/>
      <c r="Y192" s="1125"/>
      <c r="Z192" s="1125"/>
      <c r="AA192" s="1125"/>
      <c r="AB192" s="1125"/>
      <c r="AC192" s="1125"/>
      <c r="AD192" s="1125"/>
      <c r="AE192" s="1125"/>
      <c r="AF192" s="1125"/>
      <c r="AG192" s="1125"/>
      <c r="AH192" s="1125"/>
      <c r="AI192" s="1125"/>
      <c r="AJ192" s="1125"/>
      <c r="AK192" s="1125"/>
      <c r="AL192" s="1125"/>
      <c r="AM192" s="1125"/>
      <c r="AN192" s="1125"/>
      <c r="AO192" s="1125"/>
      <c r="AP192" s="1125"/>
    </row>
    <row r="193" spans="20:42" hidden="1" x14ac:dyDescent="0.25">
      <c r="T193" s="1125"/>
      <c r="U193" s="1125"/>
      <c r="V193" s="1125"/>
      <c r="W193" s="1125"/>
      <c r="X193" s="1125"/>
      <c r="Y193" s="1125"/>
      <c r="Z193" s="1125"/>
      <c r="AA193" s="1125"/>
      <c r="AB193" s="1125"/>
      <c r="AC193" s="1125"/>
      <c r="AD193" s="1125"/>
      <c r="AE193" s="1125"/>
      <c r="AF193" s="1125"/>
      <c r="AG193" s="1125"/>
      <c r="AH193" s="1125"/>
      <c r="AI193" s="1125"/>
      <c r="AJ193" s="1125"/>
      <c r="AK193" s="1125"/>
      <c r="AL193" s="1125"/>
      <c r="AM193" s="1125"/>
      <c r="AN193" s="1125"/>
      <c r="AO193" s="1125"/>
      <c r="AP193" s="1125"/>
    </row>
    <row r="194" spans="20:42" hidden="1" x14ac:dyDescent="0.25">
      <c r="T194" s="1125"/>
      <c r="U194" s="1125"/>
      <c r="V194" s="1125"/>
      <c r="W194" s="1125"/>
      <c r="X194" s="1125"/>
      <c r="Y194" s="1125"/>
      <c r="Z194" s="1125"/>
      <c r="AA194" s="1125"/>
      <c r="AB194" s="1125"/>
      <c r="AC194" s="1125"/>
      <c r="AD194" s="1125"/>
      <c r="AE194" s="1125"/>
      <c r="AF194" s="1125"/>
      <c r="AG194" s="1125"/>
      <c r="AH194" s="1125"/>
      <c r="AI194" s="1125"/>
      <c r="AJ194" s="1125"/>
      <c r="AK194" s="1125"/>
      <c r="AL194" s="1125"/>
      <c r="AM194" s="1125"/>
      <c r="AN194" s="1125"/>
      <c r="AO194" s="1125"/>
      <c r="AP194" s="1125"/>
    </row>
    <row r="195" spans="20:42" hidden="1" x14ac:dyDescent="0.25">
      <c r="T195" s="1125"/>
      <c r="U195" s="1125"/>
      <c r="V195" s="1125"/>
      <c r="W195" s="1125"/>
      <c r="X195" s="1125"/>
      <c r="Y195" s="1125"/>
      <c r="Z195" s="1125"/>
      <c r="AA195" s="1125"/>
      <c r="AB195" s="1125"/>
      <c r="AC195" s="1125"/>
      <c r="AD195" s="1125"/>
      <c r="AE195" s="1125"/>
      <c r="AF195" s="1125"/>
      <c r="AG195" s="1125"/>
      <c r="AH195" s="1125"/>
      <c r="AI195" s="1125"/>
      <c r="AJ195" s="1125"/>
      <c r="AK195" s="1125"/>
      <c r="AL195" s="1125"/>
      <c r="AM195" s="1125"/>
      <c r="AN195" s="1125"/>
      <c r="AO195" s="1125"/>
      <c r="AP195" s="1125"/>
    </row>
    <row r="196" spans="20:42" hidden="1" x14ac:dyDescent="0.25">
      <c r="T196" s="1125"/>
      <c r="U196" s="1125"/>
      <c r="V196" s="1125"/>
      <c r="W196" s="1125"/>
      <c r="X196" s="1125"/>
      <c r="Y196" s="1125"/>
      <c r="Z196" s="1125"/>
      <c r="AA196" s="1125"/>
      <c r="AB196" s="1125"/>
      <c r="AC196" s="1125"/>
      <c r="AD196" s="1125"/>
      <c r="AE196" s="1125"/>
      <c r="AF196" s="1125"/>
      <c r="AG196" s="1125"/>
      <c r="AH196" s="1125"/>
      <c r="AI196" s="1125"/>
      <c r="AJ196" s="1125"/>
      <c r="AK196" s="1125"/>
      <c r="AL196" s="1125"/>
      <c r="AM196" s="1125"/>
      <c r="AN196" s="1125"/>
      <c r="AO196" s="1125"/>
      <c r="AP196" s="1125"/>
    </row>
    <row r="197" spans="20:42" hidden="1" x14ac:dyDescent="0.25">
      <c r="T197" s="1125"/>
      <c r="U197" s="1125"/>
      <c r="V197" s="1125"/>
      <c r="W197" s="1125"/>
      <c r="X197" s="1125"/>
      <c r="Y197" s="1125"/>
      <c r="Z197" s="1125"/>
      <c r="AA197" s="1125"/>
      <c r="AB197" s="1125"/>
      <c r="AC197" s="1125"/>
      <c r="AD197" s="1125"/>
      <c r="AE197" s="1125"/>
      <c r="AF197" s="1125"/>
      <c r="AG197" s="1125"/>
      <c r="AH197" s="1125"/>
      <c r="AI197" s="1125"/>
      <c r="AJ197" s="1125"/>
      <c r="AK197" s="1125"/>
      <c r="AL197" s="1125"/>
      <c r="AM197" s="1125"/>
      <c r="AN197" s="1125"/>
      <c r="AO197" s="1125"/>
      <c r="AP197" s="1125"/>
    </row>
    <row r="198" spans="20:42" hidden="1" x14ac:dyDescent="0.25">
      <c r="T198" s="1125"/>
      <c r="U198" s="1125"/>
      <c r="V198" s="1125"/>
      <c r="W198" s="1125"/>
      <c r="X198" s="1125"/>
      <c r="Y198" s="1125"/>
      <c r="Z198" s="1125"/>
      <c r="AA198" s="1125"/>
      <c r="AB198" s="1125"/>
      <c r="AC198" s="1125"/>
      <c r="AD198" s="1125"/>
      <c r="AE198" s="1125"/>
      <c r="AF198" s="1125"/>
      <c r="AG198" s="1125"/>
      <c r="AH198" s="1125"/>
      <c r="AI198" s="1125"/>
      <c r="AJ198" s="1125"/>
      <c r="AK198" s="1125"/>
      <c r="AL198" s="1125"/>
      <c r="AM198" s="1125"/>
      <c r="AN198" s="1125"/>
      <c r="AO198" s="1125"/>
      <c r="AP198" s="1125"/>
    </row>
    <row r="199" spans="20:42" hidden="1" x14ac:dyDescent="0.25">
      <c r="T199" s="1125"/>
      <c r="U199" s="1125"/>
      <c r="V199" s="1125"/>
      <c r="W199" s="1125"/>
      <c r="X199" s="1125"/>
      <c r="Y199" s="1125"/>
      <c r="Z199" s="1125"/>
      <c r="AA199" s="1125"/>
      <c r="AB199" s="1125"/>
      <c r="AC199" s="1125"/>
      <c r="AD199" s="1125"/>
      <c r="AE199" s="1125"/>
      <c r="AF199" s="1125"/>
      <c r="AG199" s="1125"/>
      <c r="AH199" s="1125"/>
      <c r="AI199" s="1125"/>
      <c r="AJ199" s="1125"/>
      <c r="AK199" s="1125"/>
      <c r="AL199" s="1125"/>
      <c r="AM199" s="1125"/>
      <c r="AN199" s="1125"/>
      <c r="AO199" s="1125"/>
      <c r="AP199" s="1125"/>
    </row>
    <row r="200" spans="20:42" hidden="1" x14ac:dyDescent="0.25">
      <c r="T200" s="1125"/>
      <c r="U200" s="1125"/>
      <c r="V200" s="1125"/>
      <c r="W200" s="1125"/>
      <c r="X200" s="1125"/>
      <c r="Y200" s="1125"/>
      <c r="Z200" s="1125"/>
      <c r="AA200" s="1125"/>
      <c r="AB200" s="1125"/>
      <c r="AC200" s="1125"/>
      <c r="AD200" s="1125"/>
      <c r="AE200" s="1125"/>
      <c r="AF200" s="1125"/>
      <c r="AG200" s="1125"/>
      <c r="AH200" s="1125"/>
      <c r="AI200" s="1125"/>
      <c r="AJ200" s="1125"/>
      <c r="AK200" s="1125"/>
      <c r="AL200" s="1125"/>
      <c r="AM200" s="1125"/>
      <c r="AN200" s="1125"/>
      <c r="AO200" s="1125"/>
      <c r="AP200" s="1125"/>
    </row>
    <row r="201" spans="20:42" hidden="1" x14ac:dyDescent="0.25">
      <c r="T201" s="1125"/>
      <c r="U201" s="1125"/>
      <c r="V201" s="1125"/>
      <c r="W201" s="1125"/>
      <c r="X201" s="1125"/>
      <c r="Y201" s="1125"/>
      <c r="Z201" s="1125"/>
      <c r="AA201" s="1125"/>
      <c r="AB201" s="1125"/>
      <c r="AC201" s="1125"/>
      <c r="AD201" s="1125"/>
      <c r="AE201" s="1125"/>
      <c r="AF201" s="1125"/>
      <c r="AG201" s="1125"/>
      <c r="AH201" s="1125"/>
      <c r="AI201" s="1125"/>
      <c r="AJ201" s="1125"/>
      <c r="AK201" s="1125"/>
      <c r="AL201" s="1125"/>
      <c r="AM201" s="1125"/>
      <c r="AN201" s="1125"/>
      <c r="AO201" s="1125"/>
      <c r="AP201" s="1125"/>
    </row>
    <row r="202" spans="20:42" hidden="1" x14ac:dyDescent="0.25">
      <c r="T202" s="1125"/>
      <c r="U202" s="1125"/>
      <c r="V202" s="1125"/>
      <c r="W202" s="1125"/>
      <c r="X202" s="1125"/>
      <c r="Y202" s="1125"/>
      <c r="Z202" s="1125"/>
      <c r="AA202" s="1125"/>
      <c r="AB202" s="1125"/>
      <c r="AC202" s="1125"/>
      <c r="AD202" s="1125"/>
      <c r="AE202" s="1125"/>
      <c r="AF202" s="1125"/>
      <c r="AG202" s="1125"/>
      <c r="AH202" s="1125"/>
      <c r="AI202" s="1125"/>
      <c r="AJ202" s="1125"/>
      <c r="AK202" s="1125"/>
      <c r="AL202" s="1125"/>
      <c r="AM202" s="1125"/>
      <c r="AN202" s="1125"/>
      <c r="AO202" s="1125"/>
      <c r="AP202" s="1125"/>
    </row>
    <row r="203" spans="20:42" hidden="1" x14ac:dyDescent="0.25">
      <c r="T203" s="1125"/>
      <c r="U203" s="1125"/>
      <c r="V203" s="1125"/>
      <c r="W203" s="1125"/>
      <c r="X203" s="1125"/>
      <c r="Y203" s="1125"/>
      <c r="Z203" s="1125"/>
      <c r="AA203" s="1125"/>
      <c r="AB203" s="1125"/>
      <c r="AC203" s="1125"/>
      <c r="AD203" s="1125"/>
      <c r="AE203" s="1125"/>
      <c r="AF203" s="1125"/>
      <c r="AG203" s="1125"/>
      <c r="AH203" s="1125"/>
      <c r="AI203" s="1125"/>
      <c r="AJ203" s="1125"/>
      <c r="AK203" s="1125"/>
      <c r="AL203" s="1125"/>
      <c r="AM203" s="1125"/>
      <c r="AN203" s="1125"/>
      <c r="AO203" s="1125"/>
      <c r="AP203" s="1125"/>
    </row>
    <row r="204" spans="20:42" hidden="1" x14ac:dyDescent="0.25">
      <c r="T204" s="1125"/>
      <c r="U204" s="1125"/>
      <c r="V204" s="1125"/>
      <c r="W204" s="1125"/>
      <c r="X204" s="1125"/>
      <c r="Y204" s="1125"/>
      <c r="Z204" s="1125"/>
      <c r="AA204" s="1125"/>
      <c r="AB204" s="1125"/>
      <c r="AC204" s="1125"/>
      <c r="AD204" s="1125"/>
      <c r="AE204" s="1125"/>
      <c r="AF204" s="1125"/>
      <c r="AG204" s="1125"/>
      <c r="AH204" s="1125"/>
      <c r="AI204" s="1125"/>
      <c r="AJ204" s="1125"/>
      <c r="AK204" s="1125"/>
      <c r="AL204" s="1125"/>
      <c r="AM204" s="1125"/>
      <c r="AN204" s="1125"/>
      <c r="AO204" s="1125"/>
      <c r="AP204" s="1125"/>
    </row>
    <row r="205" spans="20:42" hidden="1" x14ac:dyDescent="0.25">
      <c r="T205" s="1125"/>
      <c r="U205" s="1125"/>
      <c r="V205" s="1125"/>
      <c r="W205" s="1125"/>
      <c r="X205" s="1125"/>
      <c r="Y205" s="1125"/>
      <c r="Z205" s="1125"/>
      <c r="AA205" s="1125"/>
      <c r="AB205" s="1125"/>
      <c r="AC205" s="1125"/>
      <c r="AD205" s="1125"/>
      <c r="AE205" s="1125"/>
      <c r="AF205" s="1125"/>
      <c r="AG205" s="1125"/>
      <c r="AH205" s="1125"/>
      <c r="AI205" s="1125"/>
      <c r="AJ205" s="1125"/>
      <c r="AK205" s="1125"/>
      <c r="AL205" s="1125"/>
      <c r="AM205" s="1125"/>
      <c r="AN205" s="1125"/>
      <c r="AO205" s="1125"/>
      <c r="AP205" s="1125"/>
    </row>
    <row r="206" spans="20:42" hidden="1" x14ac:dyDescent="0.25">
      <c r="T206" s="1125"/>
      <c r="U206" s="1125"/>
      <c r="V206" s="1125"/>
      <c r="W206" s="1125"/>
      <c r="X206" s="1125"/>
      <c r="Y206" s="1125"/>
      <c r="Z206" s="1125"/>
      <c r="AA206" s="1125"/>
      <c r="AB206" s="1125"/>
      <c r="AC206" s="1125"/>
      <c r="AD206" s="1125"/>
      <c r="AE206" s="1125"/>
      <c r="AF206" s="1125"/>
      <c r="AG206" s="1125"/>
      <c r="AH206" s="1125"/>
      <c r="AI206" s="1125"/>
      <c r="AJ206" s="1125"/>
      <c r="AK206" s="1125"/>
      <c r="AL206" s="1125"/>
      <c r="AM206" s="1125"/>
      <c r="AN206" s="1125"/>
      <c r="AO206" s="1125"/>
      <c r="AP206" s="1125"/>
    </row>
    <row r="207" spans="20:42" hidden="1" x14ac:dyDescent="0.25">
      <c r="T207" s="1125"/>
      <c r="U207" s="1125"/>
      <c r="V207" s="1125"/>
      <c r="W207" s="1125"/>
      <c r="X207" s="1125"/>
      <c r="Y207" s="1125"/>
      <c r="Z207" s="1125"/>
      <c r="AA207" s="1125"/>
      <c r="AB207" s="1125"/>
      <c r="AC207" s="1125"/>
      <c r="AD207" s="1125"/>
      <c r="AE207" s="1125"/>
      <c r="AF207" s="1125"/>
      <c r="AG207" s="1125"/>
      <c r="AH207" s="1125"/>
      <c r="AI207" s="1125"/>
      <c r="AJ207" s="1125"/>
      <c r="AK207" s="1125"/>
      <c r="AL207" s="1125"/>
      <c r="AM207" s="1125"/>
      <c r="AN207" s="1125"/>
      <c r="AO207" s="1125"/>
      <c r="AP207" s="1125"/>
    </row>
    <row r="208" spans="20:42" hidden="1" x14ac:dyDescent="0.25">
      <c r="T208" s="1125"/>
      <c r="U208" s="1125"/>
      <c r="V208" s="1125"/>
      <c r="W208" s="1125"/>
      <c r="X208" s="1125"/>
      <c r="Y208" s="1125"/>
      <c r="Z208" s="1125"/>
      <c r="AA208" s="1125"/>
      <c r="AB208" s="1125"/>
      <c r="AC208" s="1125"/>
      <c r="AD208" s="1125"/>
      <c r="AE208" s="1125"/>
      <c r="AF208" s="1125"/>
      <c r="AG208" s="1125"/>
      <c r="AH208" s="1125"/>
      <c r="AI208" s="1125"/>
      <c r="AJ208" s="1125"/>
      <c r="AK208" s="1125"/>
      <c r="AL208" s="1125"/>
      <c r="AM208" s="1125"/>
      <c r="AN208" s="1125"/>
      <c r="AO208" s="1125"/>
      <c r="AP208" s="1125"/>
    </row>
    <row r="209" spans="20:42" hidden="1" x14ac:dyDescent="0.25">
      <c r="T209" s="1125"/>
      <c r="U209" s="1125"/>
      <c r="V209" s="1125"/>
      <c r="W209" s="1125"/>
      <c r="X209" s="1125"/>
      <c r="Y209" s="1125"/>
      <c r="Z209" s="1125"/>
      <c r="AA209" s="1125"/>
      <c r="AB209" s="1125"/>
      <c r="AC209" s="1125"/>
      <c r="AD209" s="1125"/>
      <c r="AE209" s="1125"/>
      <c r="AF209" s="1125"/>
      <c r="AG209" s="1125"/>
      <c r="AH209" s="1125"/>
      <c r="AI209" s="1125"/>
      <c r="AJ209" s="1125"/>
      <c r="AK209" s="1125"/>
      <c r="AL209" s="1125"/>
      <c r="AM209" s="1125"/>
      <c r="AN209" s="1125"/>
      <c r="AO209" s="1125"/>
      <c r="AP209" s="1125"/>
    </row>
    <row r="210" spans="20:42" hidden="1" x14ac:dyDescent="0.25">
      <c r="T210" s="1125"/>
      <c r="U210" s="1125"/>
      <c r="V210" s="1125"/>
      <c r="W210" s="1125"/>
      <c r="X210" s="1125"/>
      <c r="Y210" s="1125"/>
      <c r="Z210" s="1125"/>
      <c r="AA210" s="1125"/>
      <c r="AB210" s="1125"/>
      <c r="AC210" s="1125"/>
      <c r="AD210" s="1125"/>
      <c r="AE210" s="1125"/>
      <c r="AF210" s="1125"/>
      <c r="AG210" s="1125"/>
      <c r="AH210" s="1125"/>
      <c r="AI210" s="1125"/>
      <c r="AJ210" s="1125"/>
      <c r="AK210" s="1125"/>
      <c r="AL210" s="1125"/>
      <c r="AM210" s="1125"/>
      <c r="AN210" s="1125"/>
      <c r="AO210" s="1125"/>
      <c r="AP210" s="1125"/>
    </row>
    <row r="211" spans="20:42" hidden="1" x14ac:dyDescent="0.25">
      <c r="T211" s="1125"/>
      <c r="U211" s="1125"/>
      <c r="V211" s="1125"/>
      <c r="W211" s="1125"/>
      <c r="X211" s="1125"/>
      <c r="Y211" s="1125"/>
      <c r="Z211" s="1125"/>
      <c r="AA211" s="1125"/>
      <c r="AB211" s="1125"/>
      <c r="AC211" s="1125"/>
      <c r="AD211" s="1125"/>
      <c r="AE211" s="1125"/>
      <c r="AF211" s="1125"/>
      <c r="AG211" s="1125"/>
      <c r="AH211" s="1125"/>
      <c r="AI211" s="1125"/>
      <c r="AJ211" s="1125"/>
      <c r="AK211" s="1125"/>
      <c r="AL211" s="1125"/>
      <c r="AM211" s="1125"/>
      <c r="AN211" s="1125"/>
      <c r="AO211" s="1125"/>
      <c r="AP211" s="1125"/>
    </row>
    <row r="212" spans="20:42" hidden="1" x14ac:dyDescent="0.25">
      <c r="T212" s="1125"/>
      <c r="U212" s="1125"/>
      <c r="V212" s="1125"/>
      <c r="W212" s="1125"/>
      <c r="X212" s="1125"/>
      <c r="Y212" s="1125"/>
      <c r="Z212" s="1125"/>
      <c r="AA212" s="1125"/>
      <c r="AB212" s="1125"/>
      <c r="AC212" s="1125"/>
      <c r="AD212" s="1125"/>
      <c r="AE212" s="1125"/>
      <c r="AF212" s="1125"/>
      <c r="AG212" s="1125"/>
      <c r="AH212" s="1125"/>
      <c r="AI212" s="1125"/>
      <c r="AJ212" s="1125"/>
      <c r="AK212" s="1125"/>
      <c r="AL212" s="1125"/>
      <c r="AM212" s="1125"/>
      <c r="AN212" s="1125"/>
      <c r="AO212" s="1125"/>
      <c r="AP212" s="1125"/>
    </row>
    <row r="213" spans="20:42" hidden="1" x14ac:dyDescent="0.25">
      <c r="T213" s="1125"/>
      <c r="U213" s="1125"/>
      <c r="V213" s="1125"/>
      <c r="W213" s="1125"/>
      <c r="X213" s="1125"/>
      <c r="Y213" s="1125"/>
      <c r="Z213" s="1125"/>
      <c r="AA213" s="1125"/>
      <c r="AB213" s="1125"/>
      <c r="AC213" s="1125"/>
      <c r="AD213" s="1125"/>
      <c r="AE213" s="1125"/>
      <c r="AF213" s="1125"/>
      <c r="AG213" s="1125"/>
      <c r="AH213" s="1125"/>
      <c r="AI213" s="1125"/>
      <c r="AJ213" s="1125"/>
      <c r="AK213" s="1125"/>
      <c r="AL213" s="1125"/>
      <c r="AM213" s="1125"/>
      <c r="AN213" s="1125"/>
      <c r="AO213" s="1125"/>
      <c r="AP213" s="1125"/>
    </row>
    <row r="214" spans="20:42" hidden="1" x14ac:dyDescent="0.25">
      <c r="T214" s="1125"/>
      <c r="U214" s="1125"/>
      <c r="V214" s="1125"/>
      <c r="W214" s="1125"/>
      <c r="X214" s="1125"/>
      <c r="Y214" s="1125"/>
      <c r="Z214" s="1125"/>
      <c r="AA214" s="1125"/>
      <c r="AB214" s="1125"/>
      <c r="AC214" s="1125"/>
      <c r="AD214" s="1125"/>
      <c r="AE214" s="1125"/>
      <c r="AF214" s="1125"/>
      <c r="AG214" s="1125"/>
      <c r="AH214" s="1125"/>
      <c r="AI214" s="1125"/>
      <c r="AJ214" s="1125"/>
      <c r="AK214" s="1125"/>
      <c r="AL214" s="1125"/>
      <c r="AM214" s="1125"/>
      <c r="AN214" s="1125"/>
      <c r="AO214" s="1125"/>
      <c r="AP214" s="1125"/>
    </row>
    <row r="215" spans="20:42" hidden="1" x14ac:dyDescent="0.25">
      <c r="T215" s="1125"/>
      <c r="U215" s="1125"/>
      <c r="V215" s="1125"/>
      <c r="W215" s="1125"/>
      <c r="X215" s="1125"/>
      <c r="Y215" s="1125"/>
      <c r="Z215" s="1125"/>
      <c r="AA215" s="1125"/>
      <c r="AB215" s="1125"/>
      <c r="AC215" s="1125"/>
      <c r="AD215" s="1125"/>
      <c r="AE215" s="1125"/>
      <c r="AF215" s="1125"/>
      <c r="AG215" s="1125"/>
      <c r="AH215" s="1125"/>
      <c r="AI215" s="1125"/>
      <c r="AJ215" s="1125"/>
      <c r="AK215" s="1125"/>
      <c r="AL215" s="1125"/>
      <c r="AM215" s="1125"/>
      <c r="AN215" s="1125"/>
      <c r="AO215" s="1125"/>
      <c r="AP215" s="1125"/>
    </row>
    <row r="216" spans="20:42" hidden="1" x14ac:dyDescent="0.25">
      <c r="T216" s="1125"/>
      <c r="U216" s="1125"/>
      <c r="V216" s="1125"/>
      <c r="W216" s="1125"/>
      <c r="X216" s="1125"/>
      <c r="Y216" s="1125"/>
      <c r="Z216" s="1125"/>
      <c r="AA216" s="1125"/>
      <c r="AB216" s="1125"/>
      <c r="AC216" s="1125"/>
      <c r="AD216" s="1125"/>
      <c r="AE216" s="1125"/>
      <c r="AF216" s="1125"/>
      <c r="AG216" s="1125"/>
      <c r="AH216" s="1125"/>
      <c r="AI216" s="1125"/>
      <c r="AJ216" s="1125"/>
      <c r="AK216" s="1125"/>
      <c r="AL216" s="1125"/>
      <c r="AM216" s="1125"/>
      <c r="AN216" s="1125"/>
      <c r="AO216" s="1125"/>
      <c r="AP216" s="1125"/>
    </row>
    <row r="217" spans="20:42" hidden="1" x14ac:dyDescent="0.25">
      <c r="AB217" s="1125"/>
      <c r="AC217" s="1125"/>
      <c r="AD217" s="1125"/>
    </row>
    <row r="218" spans="20:42" hidden="1" x14ac:dyDescent="0.25"/>
    <row r="219" spans="20:42" hidden="1" x14ac:dyDescent="0.25"/>
    <row r="220" spans="20:42" hidden="1" x14ac:dyDescent="0.25"/>
    <row r="221" spans="20:42" hidden="1" x14ac:dyDescent="0.25"/>
    <row r="222" spans="20:42" hidden="1" x14ac:dyDescent="0.25"/>
    <row r="223" spans="20:42" hidden="1" x14ac:dyDescent="0.25"/>
    <row r="224" spans="20:42"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sheetData>
  <sheetProtection algorithmName="SHA-512" hashValue="8fC0qGDT9V73JLYrNTSI8247xo7/QCYaC2x96giUL4uTlrZwR6rjiLxAiqIc2tjFktJo3a+vs4Sy1Hzia694MQ==" saltValue="+OP7Lm0SZ6vgkA3yjxCBQA==" spinCount="100000" sheet="1" objects="1" scenarios="1"/>
  <mergeCells count="166">
    <mergeCell ref="C59:D59"/>
    <mergeCell ref="E59:F59"/>
    <mergeCell ref="G59:H59"/>
    <mergeCell ref="L59:M59"/>
    <mergeCell ref="C60:D60"/>
    <mergeCell ref="E60:F60"/>
    <mergeCell ref="G60:H60"/>
    <mergeCell ref="L60:M60"/>
    <mergeCell ref="C57:D57"/>
    <mergeCell ref="E57:F57"/>
    <mergeCell ref="G57:H57"/>
    <mergeCell ref="L57:M57"/>
    <mergeCell ref="C58:D58"/>
    <mergeCell ref="E58:F58"/>
    <mergeCell ref="G58:H58"/>
    <mergeCell ref="L58:M58"/>
    <mergeCell ref="C56:D56"/>
    <mergeCell ref="E56:F56"/>
    <mergeCell ref="G56:H56"/>
    <mergeCell ref="L56:M56"/>
    <mergeCell ref="C53:D53"/>
    <mergeCell ref="E53:F53"/>
    <mergeCell ref="G53:H53"/>
    <mergeCell ref="L53:M53"/>
    <mergeCell ref="C54:D54"/>
    <mergeCell ref="E54:F54"/>
    <mergeCell ref="G54:H54"/>
    <mergeCell ref="L54:M54"/>
    <mergeCell ref="L47:M47"/>
    <mergeCell ref="C48:D48"/>
    <mergeCell ref="E48:F48"/>
    <mergeCell ref="G48:H48"/>
    <mergeCell ref="L48:M48"/>
    <mergeCell ref="C55:D55"/>
    <mergeCell ref="E55:F55"/>
    <mergeCell ref="G55:H55"/>
    <mergeCell ref="L55:M55"/>
    <mergeCell ref="B180:E180"/>
    <mergeCell ref="B175:E175"/>
    <mergeCell ref="B174:F174"/>
    <mergeCell ref="B176:E176"/>
    <mergeCell ref="B178:F178"/>
    <mergeCell ref="B162:E162"/>
    <mergeCell ref="B163:F163"/>
    <mergeCell ref="B164:E164"/>
    <mergeCell ref="B165:E165"/>
    <mergeCell ref="B166:E166"/>
    <mergeCell ref="B167:E167"/>
    <mergeCell ref="B168:E168"/>
    <mergeCell ref="B169:E169"/>
    <mergeCell ref="B171:E171"/>
    <mergeCell ref="B172:E172"/>
    <mergeCell ref="B170:F170"/>
    <mergeCell ref="B173:E173"/>
    <mergeCell ref="B177:E177"/>
    <mergeCell ref="B179:E179"/>
    <mergeCell ref="A9:G9"/>
    <mergeCell ref="J9:P9"/>
    <mergeCell ref="J27:P28"/>
    <mergeCell ref="I93:N93"/>
    <mergeCell ref="C41:D41"/>
    <mergeCell ref="E41:F41"/>
    <mergeCell ref="G41:H41"/>
    <mergeCell ref="L41:M41"/>
    <mergeCell ref="C42:D42"/>
    <mergeCell ref="E42:F42"/>
    <mergeCell ref="G42:H42"/>
    <mergeCell ref="L42:M42"/>
    <mergeCell ref="C43:D43"/>
    <mergeCell ref="E43:F43"/>
    <mergeCell ref="G43:H43"/>
    <mergeCell ref="C45:D45"/>
    <mergeCell ref="E45:F45"/>
    <mergeCell ref="G45:H45"/>
    <mergeCell ref="L45:M45"/>
    <mergeCell ref="C46:D46"/>
    <mergeCell ref="E46:F46"/>
    <mergeCell ref="G46:H46"/>
    <mergeCell ref="L46:M46"/>
    <mergeCell ref="L43:M43"/>
    <mergeCell ref="B96:B100"/>
    <mergeCell ref="E98:F98"/>
    <mergeCell ref="E99:F99"/>
    <mergeCell ref="E100:F100"/>
    <mergeCell ref="C96:D96"/>
    <mergeCell ref="C97:D97"/>
    <mergeCell ref="J98:K98"/>
    <mergeCell ref="L98:M98"/>
    <mergeCell ref="K21:O21"/>
    <mergeCell ref="C44:D44"/>
    <mergeCell ref="E44:F44"/>
    <mergeCell ref="G44:H44"/>
    <mergeCell ref="L44:M44"/>
    <mergeCell ref="C49:D49"/>
    <mergeCell ref="E49:F49"/>
    <mergeCell ref="G49:H49"/>
    <mergeCell ref="L49:M49"/>
    <mergeCell ref="C52:D52"/>
    <mergeCell ref="E52:F52"/>
    <mergeCell ref="G52:H52"/>
    <mergeCell ref="L52:M52"/>
    <mergeCell ref="C47:D47"/>
    <mergeCell ref="E47:F47"/>
    <mergeCell ref="G47:H47"/>
    <mergeCell ref="A160:F160"/>
    <mergeCell ref="A77:F77"/>
    <mergeCell ref="B80:B81"/>
    <mergeCell ref="C80:C81"/>
    <mergeCell ref="D80:E80"/>
    <mergeCell ref="B82:B84"/>
    <mergeCell ref="B85:B87"/>
    <mergeCell ref="B79:E79"/>
    <mergeCell ref="A90:F90"/>
    <mergeCell ref="E95:F95"/>
    <mergeCell ref="E96:F96"/>
    <mergeCell ref="E97:F97"/>
    <mergeCell ref="E91:F92"/>
    <mergeCell ref="B93:B95"/>
    <mergeCell ref="C98:D98"/>
    <mergeCell ref="B91:D92"/>
    <mergeCell ref="A134:F134"/>
    <mergeCell ref="B136:E136"/>
    <mergeCell ref="B142:E142"/>
    <mergeCell ref="B138:E138"/>
    <mergeCell ref="B139:E139"/>
    <mergeCell ref="B140:E140"/>
    <mergeCell ref="B143:E143"/>
    <mergeCell ref="B141:F141"/>
    <mergeCell ref="A1:R1"/>
    <mergeCell ref="A103:F103"/>
    <mergeCell ref="A62:F62"/>
    <mergeCell ref="B65:B66"/>
    <mergeCell ref="C65:E65"/>
    <mergeCell ref="F65:H65"/>
    <mergeCell ref="E93:F93"/>
    <mergeCell ref="C93:D93"/>
    <mergeCell ref="C94:D94"/>
    <mergeCell ref="C95:D95"/>
    <mergeCell ref="C99:D99"/>
    <mergeCell ref="C100:D100"/>
    <mergeCell ref="E94:F94"/>
    <mergeCell ref="A27:G28"/>
    <mergeCell ref="A3:F3"/>
    <mergeCell ref="B21:F21"/>
    <mergeCell ref="J94:K95"/>
    <mergeCell ref="L94:M95"/>
    <mergeCell ref="I65:K65"/>
    <mergeCell ref="H79:P79"/>
    <mergeCell ref="J96:K96"/>
    <mergeCell ref="J97:K97"/>
    <mergeCell ref="L96:M96"/>
    <mergeCell ref="L97:M97"/>
    <mergeCell ref="B156:E156"/>
    <mergeCell ref="B150:F150"/>
    <mergeCell ref="B151:E151"/>
    <mergeCell ref="B153:E153"/>
    <mergeCell ref="B152:E152"/>
    <mergeCell ref="B137:F137"/>
    <mergeCell ref="B154:F154"/>
    <mergeCell ref="B147:F147"/>
    <mergeCell ref="B144:E144"/>
    <mergeCell ref="B145:E145"/>
    <mergeCell ref="B146:E146"/>
    <mergeCell ref="B148:E148"/>
    <mergeCell ref="B149:E149"/>
    <mergeCell ref="B155:E155"/>
  </mergeCells>
  <dataValidations count="6">
    <dataValidation type="list" allowBlank="1" showInputMessage="1" showErrorMessage="1" sqref="C42:D49 C53:D60">
      <formula1>"Select,N,NE,E,SE,S,SW,W,NW"</formula1>
    </dataValidation>
    <dataValidation allowBlank="1" showInputMessage="1" showErrorMessage="1" prompt="Applicable for vertical sunshades placed by a clearance e from the window side, with e/B ≤ 0.1, tolerance of less than 10%." sqref="K52"/>
    <dataValidation allowBlank="1" showInputMessage="1" showErrorMessage="1" prompt="Clearance from window side to vertical sunshade inner contact" sqref="I52"/>
    <dataValidation allowBlank="1" showInputMessage="1" showErrorMessage="1" prompt="Clearance from upper window edge to lower sunshade contact" sqref="I41"/>
    <dataValidation allowBlank="1" showInputMessage="1" showErrorMessage="1" prompt="Applicable for sunshades placed above the upper window edge by a clearance d, with d/H ≤ 0.1" sqref="K41"/>
    <dataValidation allowBlank="1" showInputMessage="1" showErrorMessage="1" prompt="If R does not match the values in column 1 of the Table, A coefficient is determined through linear interpolation using the nearest higher and lower R values" sqref="L41:M41 L52:M52"/>
  </dataValidations>
  <hyperlinks>
    <hyperlink ref="E158" r:id="rId1"/>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Q51"/>
  <sheetViews>
    <sheetView showRowColHeaders="0" workbookViewId="0">
      <pane ySplit="3" topLeftCell="A4" activePane="bottomLeft" state="frozen"/>
      <selection pane="bottomLeft" activeCell="H14" sqref="H14"/>
    </sheetView>
  </sheetViews>
  <sheetFormatPr defaultColWidth="0" defaultRowHeight="14.25" zeroHeight="1" x14ac:dyDescent="0.2"/>
  <cols>
    <col min="1" max="1" width="4.140625" style="15" customWidth="1"/>
    <col min="2" max="2" width="34.42578125" style="15" customWidth="1"/>
    <col min="3" max="3" width="14.42578125" style="15" customWidth="1"/>
    <col min="4" max="4" width="13.7109375" style="15" customWidth="1"/>
    <col min="5" max="5" width="9.140625" style="15" customWidth="1"/>
    <col min="6" max="6" width="15.7109375" style="15" customWidth="1"/>
    <col min="7" max="8" width="16.5703125" style="15" customWidth="1"/>
    <col min="9" max="9" width="16.7109375" style="15" customWidth="1"/>
    <col min="10" max="10" width="13.7109375" style="15" customWidth="1"/>
    <col min="11" max="16384" width="9.140625" style="15" hidden="1"/>
  </cols>
  <sheetData>
    <row r="1" spans="1:17" ht="33" customHeight="1" x14ac:dyDescent="0.2">
      <c r="A1" s="1207" t="s">
        <v>54</v>
      </c>
      <c r="B1" s="1207"/>
      <c r="C1" s="1207"/>
      <c r="D1" s="1207"/>
      <c r="E1" s="1207"/>
      <c r="F1" s="1207"/>
      <c r="G1" s="1207"/>
      <c r="H1" s="1207"/>
      <c r="I1" s="1207"/>
      <c r="J1" s="1207"/>
      <c r="K1" s="44"/>
      <c r="L1" s="44"/>
      <c r="M1" s="44"/>
      <c r="N1" s="44"/>
      <c r="O1" s="44"/>
      <c r="P1" s="44"/>
      <c r="Q1" s="44"/>
    </row>
    <row r="2" spans="1:17" s="1137" customFormat="1" ht="19.5" customHeight="1" x14ac:dyDescent="0.2">
      <c r="A2" s="1255" t="s">
        <v>2401</v>
      </c>
      <c r="B2" s="1256"/>
      <c r="C2" s="1256"/>
      <c r="D2" s="1256"/>
      <c r="E2" s="1256"/>
      <c r="F2" s="1256"/>
      <c r="G2" s="1256"/>
      <c r="H2" s="1256"/>
      <c r="I2" s="1256"/>
      <c r="J2" s="1256"/>
      <c r="K2" s="44"/>
      <c r="L2" s="44"/>
      <c r="M2" s="44"/>
      <c r="N2" s="44"/>
      <c r="O2" s="44"/>
      <c r="P2" s="44"/>
      <c r="Q2" s="44"/>
    </row>
    <row r="3" spans="1:17" s="1137" customFormat="1" ht="19.5" customHeight="1" x14ac:dyDescent="0.2">
      <c r="A3" s="1256"/>
      <c r="B3" s="1256"/>
      <c r="C3" s="1256"/>
      <c r="D3" s="1256"/>
      <c r="E3" s="1256"/>
      <c r="F3" s="1256"/>
      <c r="G3" s="1256"/>
      <c r="H3" s="1256"/>
      <c r="I3" s="1256"/>
      <c r="J3" s="1256"/>
      <c r="K3" s="44"/>
      <c r="L3" s="44"/>
      <c r="M3" s="44"/>
      <c r="N3" s="44"/>
      <c r="O3" s="44"/>
      <c r="P3" s="44"/>
      <c r="Q3" s="44"/>
    </row>
    <row r="4" spans="1:17" s="1137" customFormat="1" ht="15" customHeight="1" x14ac:dyDescent="0.2">
      <c r="A4" s="1"/>
      <c r="B4" s="1"/>
      <c r="C4" s="1"/>
      <c r="D4" s="1"/>
      <c r="E4" s="1"/>
      <c r="F4" s="1"/>
      <c r="G4" s="1"/>
      <c r="H4" s="1"/>
      <c r="I4" s="1"/>
      <c r="J4" s="1"/>
      <c r="K4" s="17"/>
      <c r="L4" s="17"/>
      <c r="M4" s="17"/>
      <c r="N4" s="17"/>
      <c r="O4" s="17"/>
      <c r="P4" s="17"/>
      <c r="Q4" s="17"/>
    </row>
    <row r="5" spans="1:17" s="1137" customFormat="1" ht="21" customHeight="1" x14ac:dyDescent="0.2">
      <c r="A5" s="1257" t="s">
        <v>1284</v>
      </c>
      <c r="B5" s="1257"/>
      <c r="C5" s="1257"/>
      <c r="D5" s="1257"/>
      <c r="E5" s="1257"/>
      <c r="F5" s="1257"/>
      <c r="G5" s="1257"/>
      <c r="H5" s="1257"/>
      <c r="I5" s="1257"/>
      <c r="J5" s="1258"/>
    </row>
    <row r="6" spans="1:17" s="1137" customFormat="1" x14ac:dyDescent="0.2">
      <c r="A6" s="18"/>
      <c r="B6" s="22"/>
      <c r="C6" s="21"/>
      <c r="D6" s="21"/>
      <c r="E6" s="21"/>
      <c r="F6" s="21"/>
      <c r="G6" s="21"/>
      <c r="H6" s="21"/>
      <c r="I6" s="21"/>
      <c r="J6" s="21"/>
    </row>
    <row r="7" spans="1:17" s="1137" customFormat="1" ht="19.5" customHeight="1" x14ac:dyDescent="0.2">
      <c r="A7" s="18"/>
      <c r="B7" s="1196" t="s">
        <v>1869</v>
      </c>
      <c r="C7" s="1264" t="s">
        <v>129</v>
      </c>
      <c r="D7" s="1265"/>
      <c r="E7" s="1266"/>
      <c r="F7" s="21"/>
      <c r="G7" s="21"/>
      <c r="H7" s="21"/>
      <c r="I7" s="21"/>
      <c r="J7" s="21"/>
    </row>
    <row r="8" spans="1:17" s="1137" customFormat="1" x14ac:dyDescent="0.2">
      <c r="A8" s="18"/>
      <c r="B8" s="22"/>
      <c r="C8" s="21"/>
      <c r="D8" s="21"/>
      <c r="E8" s="21"/>
      <c r="F8" s="21"/>
      <c r="G8" s="21"/>
      <c r="H8" s="21"/>
      <c r="I8" s="21"/>
      <c r="J8" s="21"/>
    </row>
    <row r="9" spans="1:17" s="1137" customFormat="1" ht="18" customHeight="1" x14ac:dyDescent="0.2">
      <c r="A9" s="1257" t="s">
        <v>2382</v>
      </c>
      <c r="B9" s="1257"/>
      <c r="C9" s="1257"/>
      <c r="D9" s="1257"/>
      <c r="E9" s="1257"/>
      <c r="F9" s="1257"/>
      <c r="G9" s="1257"/>
      <c r="H9" s="1257"/>
      <c r="I9" s="1257"/>
      <c r="J9" s="1258"/>
      <c r="K9" s="17"/>
      <c r="L9" s="17"/>
      <c r="M9" s="17"/>
      <c r="N9" s="17"/>
      <c r="O9" s="17"/>
      <c r="P9" s="17"/>
      <c r="Q9" s="17"/>
    </row>
    <row r="10" spans="1:17" ht="15" customHeight="1" x14ac:dyDescent="0.2">
      <c r="A10" s="16"/>
      <c r="B10" s="16"/>
      <c r="C10" s="16"/>
      <c r="D10" s="17"/>
      <c r="E10" s="17"/>
      <c r="F10" s="17"/>
      <c r="G10" s="17"/>
      <c r="H10" s="17"/>
      <c r="I10" s="17"/>
      <c r="J10" s="17"/>
      <c r="K10" s="17"/>
      <c r="L10" s="17"/>
      <c r="M10" s="17"/>
      <c r="N10" s="17"/>
      <c r="O10" s="17"/>
      <c r="P10" s="17"/>
      <c r="Q10" s="17"/>
    </row>
    <row r="11" spans="1:17" ht="16.5" customHeight="1" x14ac:dyDescent="0.2">
      <c r="A11" s="16"/>
      <c r="B11" s="1196" t="s">
        <v>283</v>
      </c>
      <c r="C11" s="1263"/>
      <c r="D11" s="1263"/>
      <c r="E11" s="17"/>
      <c r="F11" s="17"/>
      <c r="G11" s="17"/>
      <c r="H11" s="17"/>
      <c r="I11" s="17"/>
      <c r="J11" s="17"/>
      <c r="K11" s="17"/>
      <c r="L11" s="17"/>
      <c r="M11" s="17"/>
      <c r="N11" s="17"/>
      <c r="O11" s="17"/>
      <c r="P11" s="17"/>
      <c r="Q11" s="17"/>
    </row>
    <row r="12" spans="1:17" ht="16.5" customHeight="1" x14ac:dyDescent="0.2">
      <c r="A12" s="16"/>
      <c r="B12" s="1196" t="s">
        <v>284</v>
      </c>
      <c r="C12" s="1262"/>
      <c r="D12" s="1262"/>
      <c r="E12" s="17"/>
      <c r="F12" s="17"/>
      <c r="G12" s="17"/>
      <c r="H12" s="17"/>
      <c r="I12" s="17"/>
      <c r="J12" s="17"/>
      <c r="K12" s="17"/>
      <c r="L12" s="17"/>
      <c r="M12" s="17"/>
      <c r="N12" s="17"/>
      <c r="O12" s="17"/>
      <c r="P12" s="17"/>
      <c r="Q12" s="17"/>
    </row>
    <row r="13" spans="1:17" ht="16.5" customHeight="1" x14ac:dyDescent="0.2">
      <c r="A13" s="16"/>
      <c r="B13" s="1196" t="s">
        <v>285</v>
      </c>
      <c r="C13" s="1262"/>
      <c r="D13" s="1262"/>
      <c r="E13" s="17"/>
      <c r="F13" s="17"/>
      <c r="G13" s="17"/>
      <c r="H13" s="17"/>
      <c r="I13" s="17"/>
      <c r="J13" s="17"/>
      <c r="K13" s="17"/>
      <c r="L13" s="17"/>
      <c r="M13" s="17"/>
      <c r="N13" s="17"/>
      <c r="O13" s="17"/>
      <c r="P13" s="17"/>
      <c r="Q13" s="17"/>
    </row>
    <row r="14" spans="1:17" ht="16.5" customHeight="1" x14ac:dyDescent="0.2">
      <c r="A14" s="16"/>
      <c r="B14" s="1196" t="s">
        <v>286</v>
      </c>
      <c r="C14" s="1262"/>
      <c r="D14" s="1262"/>
      <c r="E14" s="17"/>
      <c r="F14" s="17"/>
      <c r="G14" s="278"/>
      <c r="H14" s="17"/>
      <c r="I14" s="17"/>
      <c r="J14" s="17"/>
      <c r="K14" s="17"/>
      <c r="L14" s="17"/>
      <c r="M14" s="17"/>
      <c r="N14" s="17"/>
      <c r="O14" s="17"/>
      <c r="P14" s="17"/>
      <c r="Q14" s="17"/>
    </row>
    <row r="15" spans="1:17" ht="16.5" customHeight="1" x14ac:dyDescent="0.2">
      <c r="A15" s="16"/>
      <c r="B15" s="1196" t="s">
        <v>287</v>
      </c>
      <c r="C15" s="1262"/>
      <c r="D15" s="1262"/>
      <c r="E15" s="17"/>
      <c r="F15" s="17"/>
      <c r="G15" s="17"/>
      <c r="H15" s="17"/>
      <c r="I15" s="17"/>
      <c r="J15" s="17"/>
      <c r="K15" s="17"/>
      <c r="L15" s="17"/>
      <c r="M15" s="17"/>
      <c r="N15" s="17"/>
      <c r="O15" s="17"/>
      <c r="P15" s="17"/>
      <c r="Q15" s="17"/>
    </row>
    <row r="16" spans="1:17" ht="15" customHeight="1" x14ac:dyDescent="0.2">
      <c r="A16" s="16"/>
      <c r="B16" s="16"/>
      <c r="C16" s="16"/>
      <c r="D16" s="17"/>
      <c r="E16" s="17"/>
      <c r="F16" s="17"/>
      <c r="G16" s="17"/>
      <c r="H16" s="17"/>
      <c r="I16" s="17"/>
      <c r="J16" s="17"/>
      <c r="K16" s="17"/>
      <c r="L16" s="17"/>
      <c r="M16" s="17"/>
      <c r="N16" s="17"/>
      <c r="O16" s="17"/>
      <c r="P16" s="17"/>
      <c r="Q16" s="17"/>
    </row>
    <row r="17" spans="1:17" s="1137" customFormat="1" ht="18" customHeight="1" x14ac:dyDescent="0.2">
      <c r="A17" s="1257" t="s">
        <v>2392</v>
      </c>
      <c r="B17" s="1257"/>
      <c r="C17" s="1257"/>
      <c r="D17" s="1257"/>
      <c r="E17" s="1257"/>
      <c r="F17" s="1257"/>
      <c r="G17" s="1257"/>
      <c r="H17" s="1257"/>
      <c r="I17" s="1257"/>
      <c r="J17" s="1258"/>
      <c r="K17" s="17"/>
      <c r="L17" s="17"/>
      <c r="M17" s="17"/>
      <c r="N17" s="17"/>
      <c r="O17" s="17"/>
      <c r="P17" s="17"/>
      <c r="Q17" s="17"/>
    </row>
    <row r="18" spans="1:17" s="1137" customFormat="1" ht="15" customHeight="1" x14ac:dyDescent="0.2">
      <c r="A18" s="1"/>
      <c r="B18" s="1"/>
      <c r="C18" s="1"/>
      <c r="D18" s="1"/>
      <c r="E18" s="1"/>
      <c r="F18" s="1"/>
      <c r="G18" s="1"/>
      <c r="H18" s="1"/>
      <c r="I18" s="1"/>
      <c r="J18" s="1"/>
      <c r="K18" s="17"/>
      <c r="L18" s="17"/>
      <c r="M18" s="17"/>
      <c r="N18" s="17"/>
      <c r="O18" s="17"/>
      <c r="P18" s="17"/>
      <c r="Q18" s="17"/>
    </row>
    <row r="19" spans="1:17" s="1137" customFormat="1" ht="18" customHeight="1" x14ac:dyDescent="0.2">
      <c r="A19" s="1"/>
      <c r="B19" s="1196" t="s">
        <v>2393</v>
      </c>
      <c r="C19" s="1267"/>
      <c r="D19" s="1267"/>
      <c r="E19" s="1267"/>
      <c r="F19" s="1267"/>
      <c r="G19" s="1"/>
      <c r="H19" s="1"/>
      <c r="I19" s="1"/>
      <c r="J19" s="1"/>
      <c r="K19" s="17"/>
      <c r="L19" s="17"/>
      <c r="M19" s="17"/>
      <c r="N19" s="17"/>
      <c r="O19" s="17"/>
      <c r="P19" s="17"/>
      <c r="Q19" s="17"/>
    </row>
    <row r="20" spans="1:17" s="1137" customFormat="1" ht="18" customHeight="1" x14ac:dyDescent="0.2">
      <c r="A20" s="1"/>
      <c r="B20" s="1196" t="s">
        <v>2394</v>
      </c>
      <c r="C20" s="1267"/>
      <c r="D20" s="1267"/>
      <c r="E20" s="1267"/>
      <c r="F20" s="1267"/>
      <c r="G20" s="1"/>
      <c r="H20" s="1"/>
      <c r="I20" s="1"/>
      <c r="J20" s="1"/>
      <c r="K20" s="17"/>
      <c r="L20" s="17"/>
      <c r="M20" s="17"/>
      <c r="N20" s="17"/>
      <c r="O20" s="17"/>
      <c r="P20" s="17"/>
      <c r="Q20" s="17"/>
    </row>
    <row r="21" spans="1:17" s="1137" customFormat="1" ht="15" customHeight="1" x14ac:dyDescent="0.2">
      <c r="A21" s="1"/>
      <c r="B21" s="1"/>
      <c r="C21" s="1"/>
      <c r="D21" s="1"/>
      <c r="E21" s="1"/>
      <c r="F21" s="1"/>
      <c r="G21" s="1"/>
      <c r="H21" s="1"/>
      <c r="I21" s="1"/>
      <c r="J21" s="1"/>
      <c r="K21" s="17"/>
      <c r="L21" s="17"/>
      <c r="M21" s="17"/>
      <c r="N21" s="17"/>
      <c r="O21" s="17"/>
      <c r="P21" s="17"/>
      <c r="Q21" s="17"/>
    </row>
    <row r="22" spans="1:17" ht="21" customHeight="1" x14ac:dyDescent="0.2">
      <c r="A22" s="1257" t="s">
        <v>1286</v>
      </c>
      <c r="B22" s="1257"/>
      <c r="C22" s="1257"/>
      <c r="D22" s="1257"/>
      <c r="E22" s="1257"/>
      <c r="F22" s="1257"/>
      <c r="G22" s="1257"/>
      <c r="H22" s="1257"/>
      <c r="I22" s="1257"/>
      <c r="J22" s="1258"/>
      <c r="K22" s="18"/>
      <c r="L22" s="18"/>
      <c r="M22" s="18"/>
      <c r="N22" s="18"/>
      <c r="O22" s="18"/>
      <c r="P22" s="18"/>
      <c r="Q22" s="18"/>
    </row>
    <row r="23" spans="1:17" x14ac:dyDescent="0.2">
      <c r="A23" s="18"/>
      <c r="B23" s="20"/>
      <c r="C23" s="20"/>
      <c r="D23" s="19"/>
      <c r="E23" s="19"/>
      <c r="F23" s="20"/>
      <c r="G23" s="20"/>
      <c r="H23" s="20"/>
      <c r="I23" s="20"/>
      <c r="J23" s="20"/>
      <c r="K23" s="18"/>
      <c r="L23" s="18"/>
      <c r="M23" s="18"/>
      <c r="N23" s="18"/>
      <c r="O23" s="18"/>
      <c r="P23" s="18"/>
      <c r="Q23" s="18"/>
    </row>
    <row r="24" spans="1:17" ht="16.5" customHeight="1" x14ac:dyDescent="0.2">
      <c r="A24" s="18"/>
      <c r="B24" s="1196" t="s">
        <v>2395</v>
      </c>
      <c r="C24" s="608"/>
      <c r="D24" s="19"/>
      <c r="E24" s="21"/>
      <c r="F24" s="21"/>
      <c r="G24" s="21"/>
      <c r="H24" s="21"/>
      <c r="I24" s="21"/>
      <c r="J24" s="21"/>
    </row>
    <row r="25" spans="1:17" ht="16.5" customHeight="1" x14ac:dyDescent="0.2">
      <c r="A25" s="18"/>
      <c r="B25" s="1196" t="s">
        <v>2396</v>
      </c>
      <c r="C25" s="609"/>
      <c r="D25" s="19"/>
      <c r="E25" s="21"/>
      <c r="F25" s="21"/>
      <c r="G25" s="21"/>
      <c r="H25" s="21"/>
      <c r="I25" s="21"/>
      <c r="J25" s="21"/>
    </row>
    <row r="26" spans="1:17" ht="16.5" customHeight="1" x14ac:dyDescent="0.2">
      <c r="A26" s="18"/>
      <c r="B26" s="1196" t="s">
        <v>2397</v>
      </c>
      <c r="C26" s="609"/>
      <c r="D26" s="19"/>
      <c r="E26" s="21"/>
      <c r="F26" s="21"/>
      <c r="G26" s="21"/>
      <c r="H26" s="21"/>
      <c r="I26" s="21"/>
      <c r="J26" s="21"/>
    </row>
    <row r="27" spans="1:17" ht="16.5" customHeight="1" x14ac:dyDescent="0.2">
      <c r="A27" s="18"/>
      <c r="B27" s="1196" t="s">
        <v>2398</v>
      </c>
      <c r="C27" s="609"/>
      <c r="D27" s="19"/>
      <c r="E27" s="21"/>
      <c r="F27" s="21"/>
      <c r="G27" s="21"/>
      <c r="H27" s="21"/>
      <c r="I27" s="21"/>
      <c r="J27" s="21"/>
    </row>
    <row r="28" spans="1:17" ht="18" customHeight="1" x14ac:dyDescent="0.2">
      <c r="A28" s="18"/>
      <c r="B28" s="21"/>
      <c r="C28" s="22"/>
      <c r="D28" s="21"/>
      <c r="E28" s="21"/>
      <c r="F28" s="21"/>
      <c r="G28" s="21"/>
      <c r="H28" s="21"/>
      <c r="I28" s="21"/>
      <c r="J28" s="21"/>
    </row>
    <row r="29" spans="1:17" ht="21" customHeight="1" x14ac:dyDescent="0.2">
      <c r="A29" s="1257" t="s">
        <v>1285</v>
      </c>
      <c r="B29" s="1257"/>
      <c r="C29" s="1257"/>
      <c r="D29" s="1257"/>
      <c r="E29" s="1257"/>
      <c r="F29" s="1257"/>
      <c r="G29" s="1257"/>
      <c r="H29" s="1257"/>
      <c r="I29" s="1257"/>
      <c r="J29" s="1258"/>
    </row>
    <row r="30" spans="1:17" x14ac:dyDescent="0.2">
      <c r="A30" s="18"/>
      <c r="B30" s="20"/>
      <c r="C30" s="20"/>
      <c r="D30" s="20"/>
      <c r="E30" s="20"/>
      <c r="F30" s="20"/>
      <c r="G30" s="20"/>
      <c r="H30" s="20"/>
      <c r="I30" s="20"/>
      <c r="J30" s="20"/>
    </row>
    <row r="31" spans="1:17" ht="16.5" x14ac:dyDescent="0.2">
      <c r="A31" s="18"/>
      <c r="B31" s="1196" t="s">
        <v>2399</v>
      </c>
      <c r="C31" s="609"/>
      <c r="D31" s="20"/>
      <c r="E31" s="21"/>
      <c r="F31" s="21"/>
      <c r="G31" s="21"/>
      <c r="H31" s="21"/>
      <c r="I31" s="21"/>
      <c r="J31" s="21"/>
    </row>
    <row r="32" spans="1:17" s="1137" customFormat="1" ht="19.5" customHeight="1" x14ac:dyDescent="0.2">
      <c r="A32" s="18"/>
      <c r="B32" s="1196" t="s">
        <v>2383</v>
      </c>
      <c r="C32" s="1152"/>
      <c r="D32" s="20"/>
      <c r="E32" s="21"/>
      <c r="F32" s="21"/>
      <c r="G32" s="21"/>
      <c r="H32" s="21"/>
      <c r="I32" s="21"/>
      <c r="J32" s="21"/>
    </row>
    <row r="33" spans="1:10" ht="15.75" customHeight="1" x14ac:dyDescent="0.2">
      <c r="A33" s="18"/>
      <c r="B33" s="1196" t="s">
        <v>110</v>
      </c>
      <c r="C33" s="609"/>
      <c r="D33" s="20"/>
      <c r="E33" s="21"/>
      <c r="F33" s="21"/>
      <c r="G33" s="21"/>
      <c r="H33" s="21"/>
      <c r="I33" s="21"/>
      <c r="J33" s="21"/>
    </row>
    <row r="34" spans="1:10" ht="15.75" customHeight="1" x14ac:dyDescent="0.2">
      <c r="A34" s="18"/>
      <c r="B34" s="1196" t="s">
        <v>260</v>
      </c>
      <c r="C34" s="609"/>
      <c r="D34" s="20"/>
      <c r="E34" s="21"/>
      <c r="F34" s="21"/>
      <c r="G34" s="21"/>
      <c r="H34" s="21"/>
      <c r="I34" s="21"/>
      <c r="J34" s="21"/>
    </row>
    <row r="35" spans="1:10" ht="15.75" customHeight="1" x14ac:dyDescent="0.2">
      <c r="A35" s="18"/>
      <c r="B35" s="1196" t="s">
        <v>261</v>
      </c>
      <c r="C35" s="609"/>
      <c r="D35" s="20"/>
      <c r="E35" s="21"/>
      <c r="F35" s="21"/>
      <c r="G35" s="21"/>
      <c r="H35" s="21"/>
      <c r="I35" s="21"/>
      <c r="J35" s="21"/>
    </row>
    <row r="36" spans="1:10" ht="15.75" customHeight="1" x14ac:dyDescent="0.2">
      <c r="A36" s="18"/>
      <c r="B36" s="1196" t="s">
        <v>262</v>
      </c>
      <c r="C36" s="609"/>
      <c r="D36" s="20"/>
      <c r="E36" s="21"/>
      <c r="F36" s="21"/>
      <c r="G36" s="21"/>
      <c r="H36" s="21"/>
      <c r="I36" s="21"/>
      <c r="J36" s="21"/>
    </row>
    <row r="37" spans="1:10" ht="15.75" customHeight="1" x14ac:dyDescent="0.2">
      <c r="A37" s="18"/>
      <c r="B37" s="1196" t="s">
        <v>263</v>
      </c>
      <c r="C37" s="609"/>
      <c r="D37" s="20"/>
      <c r="E37" s="21"/>
      <c r="F37" s="21"/>
      <c r="G37" s="21"/>
      <c r="H37" s="21"/>
      <c r="I37" s="21"/>
      <c r="J37" s="21"/>
    </row>
    <row r="38" spans="1:10" x14ac:dyDescent="0.2">
      <c r="A38" s="18"/>
      <c r="B38" s="1259" t="s">
        <v>568</v>
      </c>
      <c r="C38" s="609" t="s">
        <v>129</v>
      </c>
      <c r="D38" s="617"/>
      <c r="E38" s="617" t="s">
        <v>1208</v>
      </c>
      <c r="F38" s="1262"/>
      <c r="G38" s="1262"/>
      <c r="H38" s="21"/>
      <c r="I38" s="21"/>
      <c r="J38" s="21"/>
    </row>
    <row r="39" spans="1:10" x14ac:dyDescent="0.2">
      <c r="A39" s="18"/>
      <c r="B39" s="1260"/>
      <c r="C39" s="971" t="s">
        <v>129</v>
      </c>
      <c r="D39" s="617"/>
      <c r="E39" s="617" t="s">
        <v>1208</v>
      </c>
      <c r="F39" s="1262"/>
      <c r="G39" s="1262"/>
      <c r="H39" s="21"/>
      <c r="I39" s="21"/>
      <c r="J39" s="21"/>
    </row>
    <row r="40" spans="1:10" x14ac:dyDescent="0.2">
      <c r="A40" s="18"/>
      <c r="B40" s="1260"/>
      <c r="C40" s="971" t="s">
        <v>129</v>
      </c>
      <c r="D40" s="617"/>
      <c r="E40" s="617" t="s">
        <v>1208</v>
      </c>
      <c r="F40" s="1262"/>
      <c r="G40" s="1262"/>
      <c r="H40" s="21"/>
      <c r="I40" s="21"/>
      <c r="J40" s="21"/>
    </row>
    <row r="41" spans="1:10" x14ac:dyDescent="0.2">
      <c r="A41" s="18"/>
      <c r="B41" s="1261"/>
      <c r="C41" s="971" t="s">
        <v>129</v>
      </c>
      <c r="D41" s="617"/>
      <c r="E41" s="617" t="s">
        <v>1208</v>
      </c>
      <c r="F41" s="1262"/>
      <c r="G41" s="1262"/>
      <c r="H41" s="21"/>
      <c r="I41" s="21"/>
      <c r="J41" s="21"/>
    </row>
    <row r="42" spans="1:10" ht="18.75" customHeight="1" x14ac:dyDescent="0.2">
      <c r="A42" s="18"/>
      <c r="B42" s="1196" t="s">
        <v>259</v>
      </c>
      <c r="C42" s="609"/>
      <c r="D42" s="20"/>
      <c r="E42" s="21"/>
      <c r="F42" s="21"/>
      <c r="G42" s="21"/>
      <c r="H42" s="21"/>
      <c r="I42" s="21"/>
      <c r="J42" s="21"/>
    </row>
    <row r="43" spans="1:10" ht="19.5" customHeight="1" x14ac:dyDescent="0.2">
      <c r="A43" s="18"/>
      <c r="B43" s="20"/>
      <c r="C43" s="20"/>
      <c r="D43" s="20"/>
      <c r="E43" s="20"/>
      <c r="F43" s="21"/>
      <c r="G43" s="21"/>
      <c r="H43" s="21"/>
      <c r="I43" s="21"/>
      <c r="J43" s="21"/>
    </row>
    <row r="44" spans="1:10" s="1137" customFormat="1" ht="54" customHeight="1" x14ac:dyDescent="0.2">
      <c r="A44" s="1"/>
      <c r="B44" s="1196" t="s">
        <v>2400</v>
      </c>
      <c r="C44" s="1252"/>
      <c r="D44" s="1253"/>
      <c r="E44" s="1253"/>
      <c r="F44" s="1253"/>
      <c r="G44" s="1253"/>
      <c r="H44" s="1253"/>
      <c r="I44" s="1254"/>
      <c r="J44" s="1"/>
    </row>
    <row r="45" spans="1:10" s="1137" customFormat="1" ht="19.5" customHeight="1" x14ac:dyDescent="0.2">
      <c r="A45" s="1"/>
      <c r="B45" s="1"/>
      <c r="C45" s="1"/>
      <c r="D45" s="1"/>
      <c r="E45" s="1"/>
      <c r="F45" s="1"/>
      <c r="G45" s="1"/>
      <c r="H45" s="1"/>
      <c r="I45" s="1"/>
      <c r="J45" s="1"/>
    </row>
    <row r="46" spans="1:10" hidden="1" x14ac:dyDescent="0.2">
      <c r="A46" s="18"/>
      <c r="B46" s="22"/>
      <c r="C46" s="21"/>
      <c r="D46" s="21"/>
      <c r="E46" s="21"/>
      <c r="F46" s="21"/>
      <c r="G46" s="21"/>
      <c r="H46" s="21"/>
      <c r="I46" s="21"/>
      <c r="J46" s="21"/>
    </row>
    <row r="47" spans="1:10" hidden="1" x14ac:dyDescent="0.2">
      <c r="A47" s="18"/>
      <c r="B47" s="22"/>
      <c r="C47" s="21"/>
      <c r="D47" s="21"/>
      <c r="E47" s="21"/>
      <c r="F47" s="21"/>
      <c r="G47" s="21"/>
      <c r="H47" s="21"/>
      <c r="I47" s="21"/>
      <c r="J47" s="21"/>
    </row>
    <row r="48" spans="1:10" hidden="1" x14ac:dyDescent="0.2"/>
    <row r="49" hidden="1" x14ac:dyDescent="0.2"/>
    <row r="50" hidden="1" x14ac:dyDescent="0.2"/>
    <row r="51" hidden="1" x14ac:dyDescent="0.2"/>
  </sheetData>
  <sheetProtection algorithmName="SHA-512" hashValue="208uHIxYzvdz7Q7MlCeVG71TZhU9p8AYL71qv51Pz5EST4r5coGkYwC5fNqom+tIcLnYV7lAwhfBot1neKU/1w==" saltValue="tjURi1orSwTPEoycea1GWw==" spinCount="100000" sheet="1" objects="1" scenarios="1"/>
  <mergeCells count="21">
    <mergeCell ref="A1:J1"/>
    <mergeCell ref="A29:J29"/>
    <mergeCell ref="A22:J22"/>
    <mergeCell ref="A5:J5"/>
    <mergeCell ref="C7:E7"/>
    <mergeCell ref="A17:J17"/>
    <mergeCell ref="C19:F19"/>
    <mergeCell ref="C20:F20"/>
    <mergeCell ref="C44:I44"/>
    <mergeCell ref="A2:J3"/>
    <mergeCell ref="A9:J9"/>
    <mergeCell ref="B38:B41"/>
    <mergeCell ref="F38:G38"/>
    <mergeCell ref="F39:G39"/>
    <mergeCell ref="F40:G40"/>
    <mergeCell ref="F41:G41"/>
    <mergeCell ref="C11:D11"/>
    <mergeCell ref="C12:D12"/>
    <mergeCell ref="C13:D13"/>
    <mergeCell ref="C14:D14"/>
    <mergeCell ref="C15:D15"/>
  </mergeCells>
  <dataValidations count="8">
    <dataValidation allowBlank="1" showInputMessage="1" showErrorMessage="1" prompt="The sum of the floor areas of a building at all floor levels. Garages are not to be included as GFA." sqref="C31:C32 B31"/>
    <dataValidation allowBlank="1" showInputMessage="1" showErrorMessage="1" prompt="The total area of the building site" sqref="B24:C24"/>
    <dataValidation allowBlank="1" showInputMessage="1" showErrorMessage="1" prompt="The area of the building in plan on the ground floor or ground plane that is enclosed by exterior walls and adjoining structures sharing the same foundation as the building such as decks, porches and garages. " sqref="B25:C25"/>
    <dataValidation allowBlank="1" showInputMessage="1" showErrorMessage="1" prompt="(or Vegetated Area)_x000a_Any area on the building site that is not paved and has plant cover. " sqref="B26:C26"/>
    <dataValidation allowBlank="1" showInputMessage="1" showErrorMessage="1" prompt="Paved areas like streets &amp; sidewalks (located on the site area but not in the Building footprint)" sqref="B27:C27"/>
    <dataValidation type="list" allowBlank="1" showInputMessage="1" showErrorMessage="1" sqref="C7">
      <formula1>"Select,Pre-assessment stage, Certification stage"</formula1>
    </dataValidation>
    <dataValidation type="list" allowBlank="1" showInputMessage="1" showErrorMessage="1" sqref="C38:C41">
      <formula1>"Select,Altar,Laundry, Storage, Maid room, Home office, Play room, Other"</formula1>
    </dataValidation>
    <dataValidation allowBlank="1" showInputMessage="1" showErrorMessage="1" prompt="The total area of all the habitable spaces in a building. Habitable spaces include kitchen, living room, dining room, bedroom and study but exclude bathrooms, storage, and utility spaces. All habitable spaces are considered occupied spaces. " sqref="B32"/>
  </dataValidations>
  <pageMargins left="0.7" right="0.7" top="0.75" bottom="0.75" header="0.3" footer="0.3"/>
  <pageSetup orientation="portrait"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ainfall"/>
  <dimension ref="A1:Q356"/>
  <sheetViews>
    <sheetView topLeftCell="A136" workbookViewId="0">
      <selection activeCell="E148" sqref="E148"/>
    </sheetView>
  </sheetViews>
  <sheetFormatPr defaultColWidth="0" defaultRowHeight="15" customHeight="1" zeroHeight="1" x14ac:dyDescent="0.25"/>
  <cols>
    <col min="1" max="1" width="15.28515625" customWidth="1"/>
    <col min="2" max="17" width="11.42578125" customWidth="1"/>
    <col min="18" max="16384" width="11.42578125" hidden="1"/>
  </cols>
  <sheetData>
    <row r="1" spans="1:17" s="132" customFormat="1" ht="18.75" thickBot="1" x14ac:dyDescent="0.3">
      <c r="A1" s="2187" t="s">
        <v>404</v>
      </c>
      <c r="B1" s="2188"/>
      <c r="C1" s="2188"/>
      <c r="D1" s="2188"/>
      <c r="E1" s="2188"/>
      <c r="F1" s="2188"/>
      <c r="G1" s="131"/>
      <c r="H1" s="131"/>
      <c r="I1" s="131"/>
      <c r="J1" s="131"/>
      <c r="K1" s="131"/>
      <c r="L1" s="131"/>
      <c r="M1" s="131"/>
      <c r="N1" s="131"/>
      <c r="O1" s="131"/>
      <c r="P1" s="131"/>
      <c r="Q1" s="131"/>
    </row>
    <row r="2" spans="1:17" x14ac:dyDescent="0.25">
      <c r="A2" s="133" t="s">
        <v>405</v>
      </c>
      <c r="B2" s="134"/>
      <c r="C2" s="134"/>
      <c r="D2" s="134"/>
      <c r="E2" s="134"/>
      <c r="F2" s="134"/>
      <c r="G2" s="134"/>
      <c r="H2" s="134"/>
      <c r="I2" s="134"/>
      <c r="J2" s="134"/>
      <c r="K2" s="134"/>
      <c r="L2" s="134"/>
      <c r="M2" s="134"/>
      <c r="N2" s="134"/>
      <c r="O2" s="134"/>
      <c r="P2" s="134"/>
      <c r="Q2" s="134"/>
    </row>
    <row r="3" spans="1:17" ht="15.75" thickBot="1" x14ac:dyDescent="0.3">
      <c r="A3" s="133"/>
      <c r="B3" s="134"/>
      <c r="C3" s="134"/>
      <c r="D3" s="134"/>
      <c r="E3" s="134"/>
      <c r="F3" s="134"/>
      <c r="G3" s="134"/>
      <c r="H3" s="134"/>
      <c r="I3" s="134"/>
      <c r="J3" s="134"/>
      <c r="K3" s="134"/>
      <c r="L3" s="134"/>
      <c r="M3" s="134"/>
      <c r="N3" s="134"/>
      <c r="O3" s="134"/>
      <c r="P3" s="134"/>
      <c r="Q3" s="134"/>
    </row>
    <row r="4" spans="1:17" ht="15.75" thickBot="1" x14ac:dyDescent="0.3">
      <c r="A4" s="135" t="s">
        <v>129</v>
      </c>
      <c r="B4" s="136" t="s">
        <v>406</v>
      </c>
      <c r="C4" s="137" t="s">
        <v>407</v>
      </c>
      <c r="D4" s="137" t="s">
        <v>408</v>
      </c>
      <c r="E4" s="137" t="s">
        <v>409</v>
      </c>
      <c r="F4" s="137" t="s">
        <v>410</v>
      </c>
      <c r="G4" s="137" t="s">
        <v>411</v>
      </c>
      <c r="H4" s="137" t="s">
        <v>412</v>
      </c>
      <c r="I4" s="137" t="s">
        <v>413</v>
      </c>
      <c r="J4" s="137" t="s">
        <v>414</v>
      </c>
      <c r="K4" s="137" t="s">
        <v>415</v>
      </c>
      <c r="L4" s="137" t="s">
        <v>416</v>
      </c>
      <c r="M4" s="138" t="s">
        <v>417</v>
      </c>
      <c r="N4" s="139" t="s">
        <v>418</v>
      </c>
      <c r="O4" s="134"/>
      <c r="P4" s="134"/>
      <c r="Q4" s="134"/>
    </row>
    <row r="5" spans="1:17" x14ac:dyDescent="0.25">
      <c r="A5" s="140" t="s">
        <v>419</v>
      </c>
      <c r="B5" s="141">
        <v>27</v>
      </c>
      <c r="C5" s="142">
        <v>34</v>
      </c>
      <c r="D5" s="142">
        <v>53</v>
      </c>
      <c r="E5" s="142">
        <v>104</v>
      </c>
      <c r="F5" s="142">
        <v>268</v>
      </c>
      <c r="G5" s="142">
        <v>295</v>
      </c>
      <c r="H5" s="142">
        <v>351</v>
      </c>
      <c r="I5" s="142">
        <v>343</v>
      </c>
      <c r="J5" s="142">
        <v>242</v>
      </c>
      <c r="K5" s="142">
        <v>207</v>
      </c>
      <c r="L5" s="142">
        <v>63</v>
      </c>
      <c r="M5" s="143">
        <v>20</v>
      </c>
      <c r="N5" s="144">
        <f t="shared" ref="N5:N36" si="0">SUM(B5:M5)</f>
        <v>2007</v>
      </c>
      <c r="O5" s="134"/>
      <c r="P5" s="134"/>
      <c r="Q5" s="134"/>
    </row>
    <row r="6" spans="1:17" x14ac:dyDescent="0.25">
      <c r="A6" s="145" t="s">
        <v>420</v>
      </c>
      <c r="B6" s="146">
        <v>24</v>
      </c>
      <c r="C6" s="147">
        <v>27</v>
      </c>
      <c r="D6" s="147">
        <v>49</v>
      </c>
      <c r="E6" s="147">
        <v>111</v>
      </c>
      <c r="F6" s="147">
        <v>193</v>
      </c>
      <c r="G6" s="147">
        <v>256</v>
      </c>
      <c r="H6" s="147">
        <v>253</v>
      </c>
      <c r="I6" s="147">
        <v>286</v>
      </c>
      <c r="J6" s="147">
        <v>176</v>
      </c>
      <c r="K6" s="147">
        <v>121</v>
      </c>
      <c r="L6" s="147">
        <v>38</v>
      </c>
      <c r="M6" s="148">
        <v>18</v>
      </c>
      <c r="N6" s="149">
        <f t="shared" si="0"/>
        <v>1552</v>
      </c>
      <c r="O6" s="134"/>
      <c r="P6" s="134"/>
      <c r="Q6" s="134"/>
    </row>
    <row r="7" spans="1:17" x14ac:dyDescent="0.25">
      <c r="A7" s="145" t="s">
        <v>421</v>
      </c>
      <c r="B7" s="146">
        <v>22</v>
      </c>
      <c r="C7" s="147">
        <v>29</v>
      </c>
      <c r="D7" s="147">
        <v>55</v>
      </c>
      <c r="E7" s="147">
        <v>113</v>
      </c>
      <c r="F7" s="147">
        <v>184</v>
      </c>
      <c r="G7" s="147">
        <v>272</v>
      </c>
      <c r="H7" s="147">
        <v>280</v>
      </c>
      <c r="I7" s="147">
        <v>277</v>
      </c>
      <c r="J7" s="147">
        <v>149</v>
      </c>
      <c r="K7" s="147">
        <v>86</v>
      </c>
      <c r="L7" s="147">
        <v>42</v>
      </c>
      <c r="M7" s="148">
        <v>19</v>
      </c>
      <c r="N7" s="149">
        <f t="shared" si="0"/>
        <v>1528</v>
      </c>
      <c r="O7" s="134"/>
      <c r="P7" s="134"/>
      <c r="Q7" s="134"/>
    </row>
    <row r="8" spans="1:17" x14ac:dyDescent="0.25">
      <c r="A8" s="145" t="s">
        <v>422</v>
      </c>
      <c r="B8" s="146">
        <v>5</v>
      </c>
      <c r="C8" s="147">
        <v>5</v>
      </c>
      <c r="D8" s="147">
        <v>19</v>
      </c>
      <c r="E8" s="147">
        <v>86</v>
      </c>
      <c r="F8" s="147">
        <v>237</v>
      </c>
      <c r="G8" s="147">
        <v>248</v>
      </c>
      <c r="H8" s="147">
        <v>255</v>
      </c>
      <c r="I8" s="147">
        <v>310</v>
      </c>
      <c r="J8" s="147">
        <v>288</v>
      </c>
      <c r="K8" s="147">
        <v>222</v>
      </c>
      <c r="L8" s="147">
        <v>96</v>
      </c>
      <c r="M8" s="148">
        <v>25</v>
      </c>
      <c r="N8" s="149">
        <f t="shared" si="0"/>
        <v>1796</v>
      </c>
      <c r="O8" s="134"/>
      <c r="P8" s="134"/>
      <c r="Q8" s="134"/>
    </row>
    <row r="9" spans="1:17" x14ac:dyDescent="0.25">
      <c r="A9" s="145" t="s">
        <v>423</v>
      </c>
      <c r="B9" s="146">
        <v>18</v>
      </c>
      <c r="C9" s="147">
        <v>12</v>
      </c>
      <c r="D9" s="147">
        <v>33</v>
      </c>
      <c r="E9" s="147">
        <v>111</v>
      </c>
      <c r="F9" s="147">
        <v>262</v>
      </c>
      <c r="G9" s="147">
        <v>343</v>
      </c>
      <c r="H9" s="147">
        <v>331</v>
      </c>
      <c r="I9" s="147">
        <v>366</v>
      </c>
      <c r="J9" s="147">
        <v>344</v>
      </c>
      <c r="K9" s="147">
        <v>357</v>
      </c>
      <c r="L9" s="147">
        <v>189</v>
      </c>
      <c r="M9" s="148">
        <v>62</v>
      </c>
      <c r="N9" s="149">
        <f t="shared" si="0"/>
        <v>2428</v>
      </c>
      <c r="O9" s="134"/>
      <c r="P9" s="134"/>
      <c r="Q9" s="134"/>
    </row>
    <row r="10" spans="1:17" x14ac:dyDescent="0.25">
      <c r="A10" s="145" t="s">
        <v>424</v>
      </c>
      <c r="B10" s="146">
        <v>23</v>
      </c>
      <c r="C10" s="147">
        <v>6</v>
      </c>
      <c r="D10" s="147">
        <v>32</v>
      </c>
      <c r="E10" s="147">
        <v>29</v>
      </c>
      <c r="F10" s="147">
        <v>81</v>
      </c>
      <c r="G10" s="147">
        <v>62</v>
      </c>
      <c r="H10" s="147">
        <v>49</v>
      </c>
      <c r="I10" s="147">
        <v>50</v>
      </c>
      <c r="J10" s="147">
        <v>152</v>
      </c>
      <c r="K10" s="147">
        <v>305</v>
      </c>
      <c r="L10" s="147">
        <v>315</v>
      </c>
      <c r="M10" s="148">
        <v>140</v>
      </c>
      <c r="N10" s="149">
        <f t="shared" si="0"/>
        <v>1244</v>
      </c>
      <c r="O10" s="134"/>
      <c r="P10" s="134"/>
      <c r="Q10" s="134"/>
    </row>
    <row r="11" spans="1:17" x14ac:dyDescent="0.25">
      <c r="A11" s="145" t="s">
        <v>425</v>
      </c>
      <c r="B11" s="146">
        <v>9</v>
      </c>
      <c r="C11" s="147">
        <v>2</v>
      </c>
      <c r="D11" s="147">
        <v>8</v>
      </c>
      <c r="E11" s="147">
        <v>40</v>
      </c>
      <c r="F11" s="147">
        <v>177</v>
      </c>
      <c r="G11" s="147">
        <v>218</v>
      </c>
      <c r="H11" s="147">
        <v>228</v>
      </c>
      <c r="I11" s="147">
        <v>240</v>
      </c>
      <c r="J11" s="147">
        <v>261</v>
      </c>
      <c r="K11" s="147">
        <v>321</v>
      </c>
      <c r="L11" s="147">
        <v>133</v>
      </c>
      <c r="M11" s="148">
        <v>38</v>
      </c>
      <c r="N11" s="149">
        <f t="shared" si="0"/>
        <v>1675</v>
      </c>
      <c r="O11" s="134"/>
      <c r="P11" s="134"/>
      <c r="Q11" s="134"/>
    </row>
    <row r="12" spans="1:17" x14ac:dyDescent="0.25">
      <c r="A12" s="145" t="s">
        <v>426</v>
      </c>
      <c r="B12" s="146">
        <v>2</v>
      </c>
      <c r="C12" s="147">
        <v>4</v>
      </c>
      <c r="D12" s="147">
        <v>10</v>
      </c>
      <c r="E12" s="147">
        <v>50</v>
      </c>
      <c r="F12" s="147">
        <v>182</v>
      </c>
      <c r="G12" s="147">
        <v>206</v>
      </c>
      <c r="H12" s="147">
        <v>216</v>
      </c>
      <c r="I12" s="147">
        <v>241</v>
      </c>
      <c r="J12" s="147">
        <v>242</v>
      </c>
      <c r="K12" s="147">
        <v>299</v>
      </c>
      <c r="L12" s="147">
        <v>127</v>
      </c>
      <c r="M12" s="148">
        <v>30</v>
      </c>
      <c r="N12" s="149">
        <f t="shared" si="0"/>
        <v>1609</v>
      </c>
      <c r="O12" s="134"/>
      <c r="P12" s="134"/>
      <c r="Q12" s="134"/>
    </row>
    <row r="13" spans="1:17" x14ac:dyDescent="0.25">
      <c r="A13" s="145" t="s">
        <v>427</v>
      </c>
      <c r="B13" s="146">
        <v>25</v>
      </c>
      <c r="C13" s="147">
        <v>25</v>
      </c>
      <c r="D13" s="147">
        <v>49</v>
      </c>
      <c r="E13" s="147">
        <v>87</v>
      </c>
      <c r="F13" s="147">
        <v>184</v>
      </c>
      <c r="G13" s="147">
        <v>236</v>
      </c>
      <c r="H13" s="147">
        <v>272</v>
      </c>
      <c r="I13" s="147">
        <v>260</v>
      </c>
      <c r="J13" s="147">
        <v>138</v>
      </c>
      <c r="K13" s="147">
        <v>83</v>
      </c>
      <c r="L13" s="147">
        <v>43</v>
      </c>
      <c r="M13" s="148">
        <v>21</v>
      </c>
      <c r="N13" s="149">
        <f t="shared" si="0"/>
        <v>1423</v>
      </c>
      <c r="O13" s="134"/>
      <c r="P13" s="134"/>
      <c r="Q13" s="134"/>
    </row>
    <row r="14" spans="1:17" x14ac:dyDescent="0.25">
      <c r="A14" s="145" t="s">
        <v>428</v>
      </c>
      <c r="B14" s="146">
        <v>9</v>
      </c>
      <c r="C14" s="147">
        <v>6</v>
      </c>
      <c r="D14" s="147">
        <v>19</v>
      </c>
      <c r="E14" s="147">
        <v>50</v>
      </c>
      <c r="F14" s="147">
        <v>148</v>
      </c>
      <c r="G14" s="147">
        <v>150</v>
      </c>
      <c r="H14" s="147">
        <v>167</v>
      </c>
      <c r="I14" s="147">
        <v>176</v>
      </c>
      <c r="J14" s="147">
        <v>243</v>
      </c>
      <c r="K14" s="147">
        <v>265</v>
      </c>
      <c r="L14" s="147">
        <v>136</v>
      </c>
      <c r="M14" s="148">
        <v>30</v>
      </c>
      <c r="N14" s="149">
        <f t="shared" si="0"/>
        <v>1399</v>
      </c>
      <c r="O14" s="134"/>
      <c r="P14" s="134"/>
      <c r="Q14" s="134"/>
    </row>
    <row r="15" spans="1:17" x14ac:dyDescent="0.25">
      <c r="A15" s="145" t="s">
        <v>429</v>
      </c>
      <c r="B15" s="146">
        <v>7</v>
      </c>
      <c r="C15" s="147">
        <v>3</v>
      </c>
      <c r="D15" s="147">
        <v>18</v>
      </c>
      <c r="E15" s="147">
        <v>87</v>
      </c>
      <c r="F15" s="147">
        <v>164</v>
      </c>
      <c r="G15" s="147">
        <v>112</v>
      </c>
      <c r="H15" s="147">
        <v>132</v>
      </c>
      <c r="I15" s="147">
        <v>163</v>
      </c>
      <c r="J15" s="147">
        <v>160</v>
      </c>
      <c r="K15" s="147">
        <v>257</v>
      </c>
      <c r="L15" s="147">
        <v>151</v>
      </c>
      <c r="M15" s="148">
        <v>40</v>
      </c>
      <c r="N15" s="149">
        <f t="shared" si="0"/>
        <v>1294</v>
      </c>
      <c r="O15" s="134"/>
      <c r="P15" s="134"/>
      <c r="Q15" s="134"/>
    </row>
    <row r="16" spans="1:17" x14ac:dyDescent="0.25">
      <c r="A16" s="145" t="s">
        <v>430</v>
      </c>
      <c r="B16" s="146">
        <v>8</v>
      </c>
      <c r="C16" s="147">
        <v>5</v>
      </c>
      <c r="D16" s="147">
        <v>7</v>
      </c>
      <c r="E16" s="147">
        <v>36</v>
      </c>
      <c r="F16" s="147">
        <v>196</v>
      </c>
      <c r="G16" s="147">
        <v>301</v>
      </c>
      <c r="H16" s="147">
        <v>278</v>
      </c>
      <c r="I16" s="147">
        <v>314</v>
      </c>
      <c r="J16" s="147">
        <v>317</v>
      </c>
      <c r="K16" s="147">
        <v>373</v>
      </c>
      <c r="L16" s="147">
        <v>177</v>
      </c>
      <c r="M16" s="148">
        <v>57</v>
      </c>
      <c r="N16" s="149">
        <f t="shared" si="0"/>
        <v>2069</v>
      </c>
      <c r="O16" s="134"/>
      <c r="P16" s="134"/>
      <c r="Q16" s="134"/>
    </row>
    <row r="17" spans="1:17" x14ac:dyDescent="0.25">
      <c r="A17" s="145" t="s">
        <v>431</v>
      </c>
      <c r="B17" s="146">
        <v>30</v>
      </c>
      <c r="C17" s="147">
        <v>32</v>
      </c>
      <c r="D17" s="147">
        <v>48</v>
      </c>
      <c r="E17" s="147">
        <v>98</v>
      </c>
      <c r="F17" s="147">
        <v>186</v>
      </c>
      <c r="G17" s="147">
        <v>307</v>
      </c>
      <c r="H17" s="147">
        <v>373</v>
      </c>
      <c r="I17" s="147">
        <v>536</v>
      </c>
      <c r="J17" s="147">
        <v>346</v>
      </c>
      <c r="K17" s="147">
        <v>171</v>
      </c>
      <c r="L17" s="147">
        <v>55</v>
      </c>
      <c r="M17" s="148">
        <v>18</v>
      </c>
      <c r="N17" s="149">
        <f t="shared" si="0"/>
        <v>2200</v>
      </c>
      <c r="O17" s="134"/>
      <c r="P17" s="134"/>
      <c r="Q17" s="134"/>
    </row>
    <row r="18" spans="1:17" x14ac:dyDescent="0.25">
      <c r="A18" s="145" t="s">
        <v>432</v>
      </c>
      <c r="B18" s="146">
        <v>8</v>
      </c>
      <c r="C18" s="147">
        <v>21</v>
      </c>
      <c r="D18" s="147">
        <v>61</v>
      </c>
      <c r="E18" s="147">
        <v>173</v>
      </c>
      <c r="F18" s="147">
        <v>208</v>
      </c>
      <c r="G18" s="147">
        <v>207</v>
      </c>
      <c r="H18" s="147">
        <v>236</v>
      </c>
      <c r="I18" s="147">
        <v>234</v>
      </c>
      <c r="J18" s="147">
        <v>279</v>
      </c>
      <c r="K18" s="147">
        <v>248</v>
      </c>
      <c r="L18" s="147">
        <v>90</v>
      </c>
      <c r="M18" s="148">
        <v>36</v>
      </c>
      <c r="N18" s="149">
        <f t="shared" si="0"/>
        <v>1801</v>
      </c>
      <c r="O18" s="134"/>
      <c r="P18" s="134"/>
      <c r="Q18" s="134"/>
    </row>
    <row r="19" spans="1:17" x14ac:dyDescent="0.25">
      <c r="A19" s="145" t="s">
        <v>433</v>
      </c>
      <c r="B19" s="146">
        <v>83</v>
      </c>
      <c r="C19" s="147">
        <v>25</v>
      </c>
      <c r="D19" s="147">
        <v>20</v>
      </c>
      <c r="E19" s="147">
        <v>35</v>
      </c>
      <c r="F19" s="147">
        <v>84</v>
      </c>
      <c r="G19" s="147">
        <v>90</v>
      </c>
      <c r="H19" s="147">
        <v>87</v>
      </c>
      <c r="I19" s="147">
        <v>117</v>
      </c>
      <c r="J19" s="147">
        <v>312</v>
      </c>
      <c r="K19" s="147">
        <v>650</v>
      </c>
      <c r="L19" s="147">
        <v>432</v>
      </c>
      <c r="M19" s="148">
        <v>216</v>
      </c>
      <c r="N19" s="149">
        <f t="shared" si="0"/>
        <v>2151</v>
      </c>
      <c r="O19" s="134"/>
      <c r="P19" s="134"/>
      <c r="Q19" s="134"/>
    </row>
    <row r="20" spans="1:17" x14ac:dyDescent="0.25">
      <c r="A20" s="145" t="s">
        <v>434</v>
      </c>
      <c r="B20" s="146">
        <v>21</v>
      </c>
      <c r="C20" s="147">
        <v>31</v>
      </c>
      <c r="D20" s="147">
        <v>55</v>
      </c>
      <c r="E20" s="147">
        <v>111</v>
      </c>
      <c r="F20" s="147">
        <v>187</v>
      </c>
      <c r="G20" s="147">
        <v>274</v>
      </c>
      <c r="H20" s="147">
        <v>310</v>
      </c>
      <c r="I20" s="147">
        <v>313</v>
      </c>
      <c r="J20" s="147">
        <v>151</v>
      </c>
      <c r="K20" s="147">
        <v>65</v>
      </c>
      <c r="L20" s="147">
        <v>31</v>
      </c>
      <c r="M20" s="148">
        <v>21</v>
      </c>
      <c r="N20" s="149">
        <f t="shared" si="0"/>
        <v>1570</v>
      </c>
      <c r="O20" s="134"/>
      <c r="P20" s="134"/>
      <c r="Q20" s="134"/>
    </row>
    <row r="21" spans="1:17" x14ac:dyDescent="0.25">
      <c r="A21" s="145" t="s">
        <v>435</v>
      </c>
      <c r="B21" s="146">
        <v>48</v>
      </c>
      <c r="C21" s="147">
        <v>33</v>
      </c>
      <c r="D21" s="147">
        <v>30</v>
      </c>
      <c r="E21" s="147">
        <v>60</v>
      </c>
      <c r="F21" s="147">
        <v>122</v>
      </c>
      <c r="G21" s="147">
        <v>92</v>
      </c>
      <c r="H21" s="147">
        <v>73</v>
      </c>
      <c r="I21" s="147">
        <v>174</v>
      </c>
      <c r="J21" s="147">
        <v>389</v>
      </c>
      <c r="K21" s="147">
        <v>661</v>
      </c>
      <c r="L21" s="147">
        <v>398</v>
      </c>
      <c r="M21" s="148">
        <v>171</v>
      </c>
      <c r="N21" s="149">
        <f t="shared" si="0"/>
        <v>2251</v>
      </c>
      <c r="O21" s="134"/>
      <c r="P21" s="134"/>
      <c r="Q21" s="134"/>
    </row>
    <row r="22" spans="1:17" x14ac:dyDescent="0.25">
      <c r="A22" s="145" t="s">
        <v>436</v>
      </c>
      <c r="B22" s="146">
        <v>57</v>
      </c>
      <c r="C22" s="147">
        <v>44</v>
      </c>
      <c r="D22" s="147">
        <v>42</v>
      </c>
      <c r="E22" s="147">
        <v>55</v>
      </c>
      <c r="F22" s="147">
        <v>112</v>
      </c>
      <c r="G22" s="147">
        <v>86</v>
      </c>
      <c r="H22" s="147">
        <v>74</v>
      </c>
      <c r="I22" s="147">
        <v>160</v>
      </c>
      <c r="J22" s="147">
        <v>463</v>
      </c>
      <c r="K22" s="147">
        <v>671</v>
      </c>
      <c r="L22" s="147">
        <v>349</v>
      </c>
      <c r="M22" s="148">
        <v>127</v>
      </c>
      <c r="N22" s="149">
        <f t="shared" si="0"/>
        <v>2240</v>
      </c>
      <c r="O22" s="134"/>
      <c r="P22" s="134"/>
      <c r="Q22" s="134"/>
    </row>
    <row r="23" spans="1:17" x14ac:dyDescent="0.25">
      <c r="A23" s="145" t="s">
        <v>437</v>
      </c>
      <c r="B23" s="146">
        <v>24</v>
      </c>
      <c r="C23" s="147">
        <v>27</v>
      </c>
      <c r="D23" s="147">
        <v>39</v>
      </c>
      <c r="E23" s="147">
        <v>91</v>
      </c>
      <c r="F23" s="147">
        <v>179</v>
      </c>
      <c r="G23" s="147">
        <v>239</v>
      </c>
      <c r="H23" s="147">
        <v>229</v>
      </c>
      <c r="I23" s="147">
        <v>272</v>
      </c>
      <c r="J23" s="147">
        <v>235</v>
      </c>
      <c r="K23" s="147">
        <v>196</v>
      </c>
      <c r="L23" s="147">
        <v>97</v>
      </c>
      <c r="M23" s="148">
        <v>43</v>
      </c>
      <c r="N23" s="149">
        <f t="shared" si="0"/>
        <v>1671</v>
      </c>
      <c r="O23" s="134"/>
      <c r="P23" s="134"/>
      <c r="Q23" s="134"/>
    </row>
    <row r="24" spans="1:17" x14ac:dyDescent="0.25">
      <c r="A24" s="145" t="s">
        <v>438</v>
      </c>
      <c r="B24" s="146">
        <v>39</v>
      </c>
      <c r="C24" s="147">
        <v>42</v>
      </c>
      <c r="D24" s="147">
        <v>62</v>
      </c>
      <c r="E24" s="147">
        <v>110</v>
      </c>
      <c r="F24" s="147">
        <v>311</v>
      </c>
      <c r="G24" s="147">
        <v>448</v>
      </c>
      <c r="H24" s="147">
        <v>520</v>
      </c>
      <c r="I24" s="147">
        <v>409</v>
      </c>
      <c r="J24" s="147">
        <v>250</v>
      </c>
      <c r="K24" s="147">
        <v>171</v>
      </c>
      <c r="L24" s="147">
        <v>91</v>
      </c>
      <c r="M24" s="148">
        <v>41</v>
      </c>
      <c r="N24" s="149">
        <f t="shared" si="0"/>
        <v>2494</v>
      </c>
      <c r="O24" s="134"/>
      <c r="P24" s="134"/>
      <c r="Q24" s="134"/>
    </row>
    <row r="25" spans="1:17" x14ac:dyDescent="0.25">
      <c r="A25" s="145" t="s">
        <v>439</v>
      </c>
      <c r="B25" s="146">
        <v>18</v>
      </c>
      <c r="C25" s="147">
        <v>19</v>
      </c>
      <c r="D25" s="147">
        <v>34</v>
      </c>
      <c r="E25" s="147">
        <v>105</v>
      </c>
      <c r="F25" s="147">
        <v>165</v>
      </c>
      <c r="G25" s="147">
        <v>266</v>
      </c>
      <c r="H25" s="147">
        <v>253</v>
      </c>
      <c r="I25" s="147">
        <v>274</v>
      </c>
      <c r="J25" s="147">
        <v>243</v>
      </c>
      <c r="K25" s="147">
        <v>156</v>
      </c>
      <c r="L25" s="147">
        <v>59</v>
      </c>
      <c r="M25" s="148">
        <v>20</v>
      </c>
      <c r="N25" s="149">
        <f t="shared" si="0"/>
        <v>1612</v>
      </c>
      <c r="O25" s="134"/>
      <c r="P25" s="134"/>
      <c r="Q25" s="134"/>
    </row>
    <row r="26" spans="1:17" x14ac:dyDescent="0.25">
      <c r="A26" s="145" t="s">
        <v>440</v>
      </c>
      <c r="B26" s="146">
        <v>97</v>
      </c>
      <c r="C26" s="147">
        <v>64</v>
      </c>
      <c r="D26" s="147">
        <v>54</v>
      </c>
      <c r="E26" s="147">
        <v>74</v>
      </c>
      <c r="F26" s="147">
        <v>143</v>
      </c>
      <c r="G26" s="147">
        <v>144</v>
      </c>
      <c r="H26" s="147">
        <v>112</v>
      </c>
      <c r="I26" s="147">
        <v>225</v>
      </c>
      <c r="J26" s="147">
        <v>532</v>
      </c>
      <c r="K26" s="147">
        <v>765</v>
      </c>
      <c r="L26" s="147">
        <v>319</v>
      </c>
      <c r="M26" s="148">
        <v>162</v>
      </c>
      <c r="N26" s="149">
        <f t="shared" si="0"/>
        <v>2691</v>
      </c>
      <c r="O26" s="134"/>
      <c r="P26" s="134"/>
      <c r="Q26" s="134"/>
    </row>
    <row r="27" spans="1:17" x14ac:dyDescent="0.25">
      <c r="A27" s="145" t="s">
        <v>441</v>
      </c>
      <c r="B27" s="146">
        <v>24</v>
      </c>
      <c r="C27" s="147">
        <v>24</v>
      </c>
      <c r="D27" s="147">
        <v>44</v>
      </c>
      <c r="E27" s="147">
        <v>92</v>
      </c>
      <c r="F27" s="147">
        <v>167</v>
      </c>
      <c r="G27" s="147">
        <v>237</v>
      </c>
      <c r="H27" s="147">
        <v>232</v>
      </c>
      <c r="I27" s="147">
        <v>274</v>
      </c>
      <c r="J27" s="147">
        <v>211</v>
      </c>
      <c r="K27" s="147">
        <v>143</v>
      </c>
      <c r="L27" s="147">
        <v>47</v>
      </c>
      <c r="M27" s="148">
        <v>21</v>
      </c>
      <c r="N27" s="149">
        <f t="shared" si="0"/>
        <v>1516</v>
      </c>
      <c r="O27" s="134"/>
      <c r="P27" s="134"/>
      <c r="Q27" s="134"/>
    </row>
    <row r="28" spans="1:17" x14ac:dyDescent="0.25">
      <c r="A28" s="145" t="s">
        <v>442</v>
      </c>
      <c r="B28" s="146">
        <v>20</v>
      </c>
      <c r="C28" s="147">
        <v>15</v>
      </c>
      <c r="D28" s="147">
        <v>38</v>
      </c>
      <c r="E28" s="147">
        <v>101</v>
      </c>
      <c r="F28" s="147">
        <v>242</v>
      </c>
      <c r="G28" s="147">
        <v>277</v>
      </c>
      <c r="H28" s="147">
        <v>295</v>
      </c>
      <c r="I28" s="147">
        <v>323</v>
      </c>
      <c r="J28" s="147">
        <v>297</v>
      </c>
      <c r="K28" s="147">
        <v>195</v>
      </c>
      <c r="L28" s="147">
        <v>62</v>
      </c>
      <c r="M28" s="148">
        <v>17</v>
      </c>
      <c r="N28" s="149">
        <f t="shared" si="0"/>
        <v>1882</v>
      </c>
      <c r="O28" s="134"/>
      <c r="P28" s="134"/>
      <c r="Q28" s="134"/>
    </row>
    <row r="29" spans="1:17" x14ac:dyDescent="0.25">
      <c r="A29" s="145" t="s">
        <v>443</v>
      </c>
      <c r="B29" s="146">
        <v>13</v>
      </c>
      <c r="C29" s="147">
        <v>12</v>
      </c>
      <c r="D29" s="147">
        <v>23</v>
      </c>
      <c r="E29" s="147">
        <v>44</v>
      </c>
      <c r="F29" s="147">
        <v>74</v>
      </c>
      <c r="G29" s="147">
        <v>117</v>
      </c>
      <c r="H29" s="147">
        <v>225</v>
      </c>
      <c r="I29" s="147">
        <v>162</v>
      </c>
      <c r="J29" s="147">
        <v>216</v>
      </c>
      <c r="K29" s="147">
        <v>241</v>
      </c>
      <c r="L29" s="147">
        <v>152</v>
      </c>
      <c r="M29" s="148">
        <v>30</v>
      </c>
      <c r="N29" s="149">
        <f t="shared" si="0"/>
        <v>1309</v>
      </c>
      <c r="O29" s="134"/>
      <c r="P29" s="134"/>
      <c r="Q29" s="134"/>
    </row>
    <row r="30" spans="1:17" x14ac:dyDescent="0.25">
      <c r="A30" s="145" t="s">
        <v>444</v>
      </c>
      <c r="B30" s="146">
        <v>23</v>
      </c>
      <c r="C30" s="147">
        <v>25</v>
      </c>
      <c r="D30" s="147">
        <v>41</v>
      </c>
      <c r="E30" s="147">
        <v>91</v>
      </c>
      <c r="F30" s="147">
        <v>170</v>
      </c>
      <c r="G30" s="147">
        <v>299</v>
      </c>
      <c r="H30" s="147">
        <v>327</v>
      </c>
      <c r="I30" s="147">
        <v>445</v>
      </c>
      <c r="J30" s="147">
        <v>282</v>
      </c>
      <c r="K30" s="147">
        <v>159</v>
      </c>
      <c r="L30" s="147">
        <v>37</v>
      </c>
      <c r="M30" s="148">
        <v>19</v>
      </c>
      <c r="N30" s="149">
        <f t="shared" si="0"/>
        <v>1918</v>
      </c>
      <c r="O30" s="134"/>
      <c r="P30" s="134"/>
      <c r="Q30" s="134"/>
    </row>
    <row r="31" spans="1:17" x14ac:dyDescent="0.25">
      <c r="A31" s="145" t="s">
        <v>445</v>
      </c>
      <c r="B31" s="146">
        <v>126</v>
      </c>
      <c r="C31" s="147">
        <v>65</v>
      </c>
      <c r="D31" s="147">
        <v>43</v>
      </c>
      <c r="E31" s="147">
        <v>58</v>
      </c>
      <c r="F31" s="147">
        <v>102</v>
      </c>
      <c r="G31" s="147">
        <v>113</v>
      </c>
      <c r="H31" s="147">
        <v>92</v>
      </c>
      <c r="I31" s="147">
        <v>117</v>
      </c>
      <c r="J31" s="147">
        <v>394</v>
      </c>
      <c r="K31" s="147">
        <v>757</v>
      </c>
      <c r="L31" s="147">
        <v>621</v>
      </c>
      <c r="M31" s="148">
        <v>311</v>
      </c>
      <c r="N31" s="149">
        <f t="shared" si="0"/>
        <v>2799</v>
      </c>
      <c r="O31" s="134"/>
      <c r="P31" s="134"/>
      <c r="Q31" s="134"/>
    </row>
    <row r="32" spans="1:17" x14ac:dyDescent="0.25">
      <c r="A32" s="145" t="s">
        <v>446</v>
      </c>
      <c r="B32" s="146">
        <v>26</v>
      </c>
      <c r="C32" s="147">
        <v>25</v>
      </c>
      <c r="D32" s="147">
        <v>48</v>
      </c>
      <c r="E32" s="147">
        <v>92</v>
      </c>
      <c r="F32" s="147">
        <v>172</v>
      </c>
      <c r="G32" s="147">
        <v>229</v>
      </c>
      <c r="H32" s="147">
        <v>219</v>
      </c>
      <c r="I32" s="147">
        <v>286</v>
      </c>
      <c r="J32" s="147">
        <v>261</v>
      </c>
      <c r="K32" s="147">
        <v>187</v>
      </c>
      <c r="L32" s="147">
        <v>75</v>
      </c>
      <c r="M32" s="148">
        <v>24</v>
      </c>
      <c r="N32" s="149">
        <f t="shared" si="0"/>
        <v>1644</v>
      </c>
      <c r="O32" s="134"/>
      <c r="P32" s="134"/>
      <c r="Q32" s="134"/>
    </row>
    <row r="33" spans="1:17" x14ac:dyDescent="0.25">
      <c r="A33" s="145" t="s">
        <v>447</v>
      </c>
      <c r="B33" s="146">
        <v>1</v>
      </c>
      <c r="C33" s="147">
        <v>10</v>
      </c>
      <c r="D33" s="147">
        <v>28</v>
      </c>
      <c r="E33" s="147">
        <v>93</v>
      </c>
      <c r="F33" s="147">
        <v>220</v>
      </c>
      <c r="G33" s="147">
        <v>259</v>
      </c>
      <c r="H33" s="147">
        <v>293</v>
      </c>
      <c r="I33" s="147">
        <v>325</v>
      </c>
      <c r="J33" s="147">
        <v>295</v>
      </c>
      <c r="K33" s="147">
        <v>177</v>
      </c>
      <c r="L33" s="147">
        <v>62</v>
      </c>
      <c r="M33" s="148">
        <v>9</v>
      </c>
      <c r="N33" s="149">
        <f t="shared" si="0"/>
        <v>1772</v>
      </c>
      <c r="O33" s="134"/>
      <c r="P33" s="134"/>
      <c r="Q33" s="134"/>
    </row>
    <row r="34" spans="1:17" x14ac:dyDescent="0.25">
      <c r="A34" s="145" t="s">
        <v>448</v>
      </c>
      <c r="B34" s="146">
        <v>27</v>
      </c>
      <c r="C34" s="147">
        <v>36</v>
      </c>
      <c r="D34" s="147">
        <v>60</v>
      </c>
      <c r="E34" s="147">
        <v>135</v>
      </c>
      <c r="F34" s="147">
        <v>258</v>
      </c>
      <c r="G34" s="147">
        <v>438</v>
      </c>
      <c r="H34" s="147">
        <v>467</v>
      </c>
      <c r="I34" s="147">
        <v>372</v>
      </c>
      <c r="J34" s="147">
        <v>146</v>
      </c>
      <c r="K34" s="147">
        <v>91</v>
      </c>
      <c r="L34" s="147">
        <v>51</v>
      </c>
      <c r="M34" s="148">
        <v>25</v>
      </c>
      <c r="N34" s="149">
        <f t="shared" si="0"/>
        <v>2106</v>
      </c>
      <c r="O34" s="134"/>
      <c r="P34" s="134"/>
      <c r="Q34" s="134"/>
    </row>
    <row r="35" spans="1:17" x14ac:dyDescent="0.25">
      <c r="A35" s="145" t="s">
        <v>449</v>
      </c>
      <c r="B35" s="146">
        <v>31</v>
      </c>
      <c r="C35" s="147">
        <v>38</v>
      </c>
      <c r="D35" s="147">
        <v>49</v>
      </c>
      <c r="E35" s="147">
        <v>97</v>
      </c>
      <c r="F35" s="147">
        <v>167</v>
      </c>
      <c r="G35" s="147">
        <v>189</v>
      </c>
      <c r="H35" s="147">
        <v>229</v>
      </c>
      <c r="I35" s="147">
        <v>232</v>
      </c>
      <c r="J35" s="147">
        <v>130</v>
      </c>
      <c r="K35" s="147">
        <v>82</v>
      </c>
      <c r="L35" s="147">
        <v>36</v>
      </c>
      <c r="M35" s="148">
        <v>20</v>
      </c>
      <c r="N35" s="149">
        <f t="shared" si="0"/>
        <v>1300</v>
      </c>
      <c r="O35" s="134"/>
      <c r="P35" s="134"/>
      <c r="Q35" s="134"/>
    </row>
    <row r="36" spans="1:17" x14ac:dyDescent="0.25">
      <c r="A36" s="145" t="s">
        <v>450</v>
      </c>
      <c r="B36" s="146">
        <v>22</v>
      </c>
      <c r="C36" s="147">
        <v>33</v>
      </c>
      <c r="D36" s="147">
        <v>58</v>
      </c>
      <c r="E36" s="147">
        <v>129</v>
      </c>
      <c r="F36" s="147">
        <v>171</v>
      </c>
      <c r="G36" s="147">
        <v>239</v>
      </c>
      <c r="H36" s="147">
        <v>302</v>
      </c>
      <c r="I36" s="147">
        <v>355</v>
      </c>
      <c r="J36" s="147">
        <v>222</v>
      </c>
      <c r="K36" s="147">
        <v>153</v>
      </c>
      <c r="L36" s="147">
        <v>54</v>
      </c>
      <c r="M36" s="148">
        <v>27</v>
      </c>
      <c r="N36" s="149">
        <f t="shared" si="0"/>
        <v>1765</v>
      </c>
      <c r="O36" s="134"/>
      <c r="P36" s="134"/>
      <c r="Q36" s="134"/>
    </row>
    <row r="37" spans="1:17" x14ac:dyDescent="0.25">
      <c r="A37" s="145" t="s">
        <v>451</v>
      </c>
      <c r="B37" s="146">
        <v>14</v>
      </c>
      <c r="C37" s="147">
        <v>7</v>
      </c>
      <c r="D37" s="147">
        <v>13</v>
      </c>
      <c r="E37" s="147">
        <v>60</v>
      </c>
      <c r="F37" s="147">
        <v>185</v>
      </c>
      <c r="G37" s="147">
        <v>165</v>
      </c>
      <c r="H37" s="147">
        <v>180</v>
      </c>
      <c r="I37" s="147">
        <v>173</v>
      </c>
      <c r="J37" s="147">
        <v>253</v>
      </c>
      <c r="K37" s="147">
        <v>317</v>
      </c>
      <c r="L37" s="147">
        <v>152</v>
      </c>
      <c r="M37" s="148">
        <v>40</v>
      </c>
      <c r="N37" s="149">
        <f t="shared" ref="N37:N68" si="1">SUM(B37:M37)</f>
        <v>1559</v>
      </c>
      <c r="O37" s="134"/>
      <c r="P37" s="134"/>
      <c r="Q37" s="134"/>
    </row>
    <row r="38" spans="1:17" x14ac:dyDescent="0.25">
      <c r="A38" s="145" t="s">
        <v>452</v>
      </c>
      <c r="B38" s="146">
        <v>5</v>
      </c>
      <c r="C38" s="147">
        <v>1</v>
      </c>
      <c r="D38" s="147">
        <v>6</v>
      </c>
      <c r="E38" s="147">
        <v>42</v>
      </c>
      <c r="F38" s="147">
        <v>145</v>
      </c>
      <c r="G38" s="147">
        <v>198</v>
      </c>
      <c r="H38" s="147">
        <v>177</v>
      </c>
      <c r="I38" s="147">
        <v>188</v>
      </c>
      <c r="J38" s="147">
        <v>231</v>
      </c>
      <c r="K38" s="147">
        <v>262</v>
      </c>
      <c r="L38" s="147">
        <v>98</v>
      </c>
      <c r="M38" s="148">
        <v>32</v>
      </c>
      <c r="N38" s="149">
        <f t="shared" si="1"/>
        <v>1385</v>
      </c>
      <c r="O38" s="134"/>
      <c r="P38" s="134"/>
      <c r="Q38" s="134"/>
    </row>
    <row r="39" spans="1:17" x14ac:dyDescent="0.25">
      <c r="A39" s="145" t="s">
        <v>453</v>
      </c>
      <c r="B39" s="146">
        <v>24</v>
      </c>
      <c r="C39" s="147">
        <v>29</v>
      </c>
      <c r="D39" s="147">
        <v>49</v>
      </c>
      <c r="E39" s="147">
        <v>93</v>
      </c>
      <c r="F39" s="147">
        <v>177</v>
      </c>
      <c r="G39" s="147">
        <v>206</v>
      </c>
      <c r="H39" s="147">
        <v>230</v>
      </c>
      <c r="I39" s="147">
        <v>296</v>
      </c>
      <c r="J39" s="147">
        <v>323</v>
      </c>
      <c r="K39" s="147">
        <v>226</v>
      </c>
      <c r="L39" s="147">
        <v>62</v>
      </c>
      <c r="M39" s="148">
        <v>28</v>
      </c>
      <c r="N39" s="149">
        <f t="shared" si="1"/>
        <v>1743</v>
      </c>
      <c r="O39" s="134"/>
      <c r="P39" s="134"/>
      <c r="Q39" s="134"/>
    </row>
    <row r="40" spans="1:17" x14ac:dyDescent="0.25">
      <c r="A40" s="145" t="s">
        <v>454</v>
      </c>
      <c r="B40" s="146">
        <v>38</v>
      </c>
      <c r="C40" s="147">
        <v>16</v>
      </c>
      <c r="D40" s="147">
        <v>31</v>
      </c>
      <c r="E40" s="147">
        <v>35</v>
      </c>
      <c r="F40" s="147">
        <v>70</v>
      </c>
      <c r="G40" s="147">
        <v>59</v>
      </c>
      <c r="H40" s="147">
        <v>36</v>
      </c>
      <c r="I40" s="147">
        <v>50</v>
      </c>
      <c r="J40" s="147">
        <v>159</v>
      </c>
      <c r="K40" s="147">
        <v>302</v>
      </c>
      <c r="L40" s="147">
        <v>332</v>
      </c>
      <c r="M40" s="148">
        <v>153</v>
      </c>
      <c r="N40" s="149">
        <f t="shared" si="1"/>
        <v>1281</v>
      </c>
      <c r="O40" s="134"/>
      <c r="P40" s="134"/>
      <c r="Q40" s="134"/>
    </row>
    <row r="41" spans="1:17" x14ac:dyDescent="0.25">
      <c r="A41" s="145" t="s">
        <v>455</v>
      </c>
      <c r="B41" s="146">
        <v>24</v>
      </c>
      <c r="C41" s="147">
        <v>29</v>
      </c>
      <c r="D41" s="147">
        <v>48</v>
      </c>
      <c r="E41" s="147">
        <v>78</v>
      </c>
      <c r="F41" s="147">
        <v>165</v>
      </c>
      <c r="G41" s="147">
        <v>232</v>
      </c>
      <c r="H41" s="147">
        <v>224</v>
      </c>
      <c r="I41" s="147">
        <v>317</v>
      </c>
      <c r="J41" s="147">
        <v>369</v>
      </c>
      <c r="K41" s="147">
        <v>244</v>
      </c>
      <c r="L41" s="147">
        <v>68</v>
      </c>
      <c r="M41" s="148">
        <v>32</v>
      </c>
      <c r="N41" s="149">
        <f t="shared" si="1"/>
        <v>1830</v>
      </c>
      <c r="O41" s="134"/>
      <c r="P41" s="134"/>
      <c r="Q41" s="134"/>
    </row>
    <row r="42" spans="1:17" x14ac:dyDescent="0.25">
      <c r="A42" s="145" t="s">
        <v>456</v>
      </c>
      <c r="B42" s="146">
        <v>1</v>
      </c>
      <c r="C42" s="147">
        <v>0</v>
      </c>
      <c r="D42" s="147">
        <v>6</v>
      </c>
      <c r="E42" s="147">
        <v>30</v>
      </c>
      <c r="F42" s="147">
        <v>136</v>
      </c>
      <c r="G42" s="147">
        <v>145</v>
      </c>
      <c r="H42" s="147">
        <v>165</v>
      </c>
      <c r="I42" s="147">
        <v>164</v>
      </c>
      <c r="J42" s="147">
        <v>192</v>
      </c>
      <c r="K42" s="147">
        <v>155</v>
      </c>
      <c r="L42" s="147">
        <v>58</v>
      </c>
      <c r="M42" s="148">
        <v>20</v>
      </c>
      <c r="N42" s="149">
        <f t="shared" si="1"/>
        <v>1072</v>
      </c>
      <c r="O42" s="134"/>
      <c r="P42" s="134"/>
      <c r="Q42" s="134"/>
    </row>
    <row r="43" spans="1:17" x14ac:dyDescent="0.25">
      <c r="A43" s="145" t="s">
        <v>457</v>
      </c>
      <c r="B43" s="146">
        <v>26</v>
      </c>
      <c r="C43" s="147">
        <v>29</v>
      </c>
      <c r="D43" s="147">
        <v>49</v>
      </c>
      <c r="E43" s="147">
        <v>93</v>
      </c>
      <c r="F43" s="147">
        <v>202</v>
      </c>
      <c r="G43" s="147">
        <v>247</v>
      </c>
      <c r="H43" s="147">
        <v>226</v>
      </c>
      <c r="I43" s="147">
        <v>359</v>
      </c>
      <c r="J43" s="147">
        <v>253</v>
      </c>
      <c r="K43" s="147">
        <v>155</v>
      </c>
      <c r="L43" s="147">
        <v>39</v>
      </c>
      <c r="M43" s="148">
        <v>20</v>
      </c>
      <c r="N43" s="149">
        <f t="shared" si="1"/>
        <v>1698</v>
      </c>
      <c r="O43" s="134"/>
      <c r="P43" s="134"/>
      <c r="Q43" s="134"/>
    </row>
    <row r="44" spans="1:17" x14ac:dyDescent="0.25">
      <c r="A44" s="145" t="s">
        <v>458</v>
      </c>
      <c r="B44" s="146">
        <v>34</v>
      </c>
      <c r="C44" s="147">
        <v>29</v>
      </c>
      <c r="D44" s="147">
        <v>54</v>
      </c>
      <c r="E44" s="147">
        <v>149</v>
      </c>
      <c r="F44" s="147">
        <v>298</v>
      </c>
      <c r="G44" s="147">
        <v>413</v>
      </c>
      <c r="H44" s="147">
        <v>418</v>
      </c>
      <c r="I44" s="147">
        <v>546</v>
      </c>
      <c r="J44" s="147">
        <v>473</v>
      </c>
      <c r="K44" s="147">
        <v>387</v>
      </c>
      <c r="L44" s="147">
        <v>169</v>
      </c>
      <c r="M44" s="148">
        <v>59</v>
      </c>
      <c r="N44" s="149">
        <f t="shared" si="1"/>
        <v>3029</v>
      </c>
      <c r="O44" s="134"/>
      <c r="P44" s="134"/>
      <c r="Q44" s="134"/>
    </row>
    <row r="45" spans="1:17" x14ac:dyDescent="0.25">
      <c r="A45" s="145" t="s">
        <v>459</v>
      </c>
      <c r="B45" s="146">
        <v>14</v>
      </c>
      <c r="C45" s="147">
        <v>16</v>
      </c>
      <c r="D45" s="147">
        <v>41</v>
      </c>
      <c r="E45" s="147">
        <v>121</v>
      </c>
      <c r="F45" s="147">
        <v>290</v>
      </c>
      <c r="G45" s="147">
        <v>382</v>
      </c>
      <c r="H45" s="147">
        <v>401</v>
      </c>
      <c r="I45" s="147">
        <v>462</v>
      </c>
      <c r="J45" s="147">
        <v>468</v>
      </c>
      <c r="K45" s="147">
        <v>322</v>
      </c>
      <c r="L45" s="147">
        <v>119</v>
      </c>
      <c r="M45" s="148">
        <v>31</v>
      </c>
      <c r="N45" s="149">
        <f t="shared" si="1"/>
        <v>2667</v>
      </c>
      <c r="O45" s="134"/>
      <c r="P45" s="134"/>
      <c r="Q45" s="134"/>
    </row>
    <row r="46" spans="1:17" x14ac:dyDescent="0.25">
      <c r="A46" s="145" t="s">
        <v>460</v>
      </c>
      <c r="B46" s="146">
        <v>3</v>
      </c>
      <c r="C46" s="147">
        <v>6</v>
      </c>
      <c r="D46" s="147">
        <v>22</v>
      </c>
      <c r="E46" s="147">
        <v>93</v>
      </c>
      <c r="F46" s="147">
        <v>245</v>
      </c>
      <c r="G46" s="147">
        <v>344</v>
      </c>
      <c r="H46" s="147">
        <v>390</v>
      </c>
      <c r="I46" s="147">
        <v>476</v>
      </c>
      <c r="J46" s="147">
        <v>362</v>
      </c>
      <c r="K46" s="147">
        <v>189</v>
      </c>
      <c r="L46" s="147">
        <v>64</v>
      </c>
      <c r="M46" s="148">
        <v>11</v>
      </c>
      <c r="N46" s="149">
        <f t="shared" si="1"/>
        <v>2205</v>
      </c>
      <c r="O46" s="134"/>
      <c r="P46" s="134"/>
      <c r="Q46" s="134"/>
    </row>
    <row r="47" spans="1:17" x14ac:dyDescent="0.25">
      <c r="A47" s="145" t="s">
        <v>461</v>
      </c>
      <c r="B47" s="146">
        <v>123</v>
      </c>
      <c r="C47" s="147">
        <v>41</v>
      </c>
      <c r="D47" s="147">
        <v>38</v>
      </c>
      <c r="E47" s="147">
        <v>49</v>
      </c>
      <c r="F47" s="147">
        <v>99</v>
      </c>
      <c r="G47" s="147">
        <v>110</v>
      </c>
      <c r="H47" s="147">
        <v>92</v>
      </c>
      <c r="I47" s="147">
        <v>126</v>
      </c>
      <c r="J47" s="147">
        <v>303</v>
      </c>
      <c r="K47" s="147">
        <v>639</v>
      </c>
      <c r="L47" s="147">
        <v>563</v>
      </c>
      <c r="M47" s="148">
        <v>284</v>
      </c>
      <c r="N47" s="149">
        <f t="shared" si="1"/>
        <v>2467</v>
      </c>
      <c r="O47" s="134"/>
      <c r="P47" s="134"/>
      <c r="Q47" s="134"/>
    </row>
    <row r="48" spans="1:17" x14ac:dyDescent="0.25">
      <c r="A48" s="145" t="s">
        <v>462</v>
      </c>
      <c r="B48" s="146">
        <v>64</v>
      </c>
      <c r="C48" s="147">
        <v>28</v>
      </c>
      <c r="D48" s="147">
        <v>24</v>
      </c>
      <c r="E48" s="147">
        <v>31</v>
      </c>
      <c r="F48" s="147">
        <v>84</v>
      </c>
      <c r="G48" s="147">
        <v>64</v>
      </c>
      <c r="H48" s="147">
        <v>38</v>
      </c>
      <c r="I48" s="147">
        <v>62</v>
      </c>
      <c r="J48" s="147">
        <v>227</v>
      </c>
      <c r="K48" s="147">
        <v>549</v>
      </c>
      <c r="L48" s="147">
        <v>437</v>
      </c>
      <c r="M48" s="148">
        <v>199</v>
      </c>
      <c r="N48" s="149">
        <f t="shared" si="1"/>
        <v>1807</v>
      </c>
      <c r="O48" s="134"/>
      <c r="P48" s="134"/>
      <c r="Q48" s="134"/>
    </row>
    <row r="49" spans="1:17" x14ac:dyDescent="0.25">
      <c r="A49" s="145" t="s">
        <v>463</v>
      </c>
      <c r="B49" s="146">
        <v>11</v>
      </c>
      <c r="C49" s="147">
        <v>7</v>
      </c>
      <c r="D49" s="147">
        <v>25</v>
      </c>
      <c r="E49" s="147">
        <v>97</v>
      </c>
      <c r="F49" s="147">
        <v>249</v>
      </c>
      <c r="G49" s="147">
        <v>277</v>
      </c>
      <c r="H49" s="147">
        <v>309</v>
      </c>
      <c r="I49" s="147">
        <v>369</v>
      </c>
      <c r="J49" s="147">
        <v>300</v>
      </c>
      <c r="K49" s="147">
        <v>295</v>
      </c>
      <c r="L49" s="147">
        <v>173</v>
      </c>
      <c r="M49" s="148">
        <v>44</v>
      </c>
      <c r="N49" s="149">
        <f t="shared" si="1"/>
        <v>2156</v>
      </c>
      <c r="O49" s="134"/>
      <c r="P49" s="134"/>
      <c r="Q49" s="134"/>
    </row>
    <row r="50" spans="1:17" x14ac:dyDescent="0.25">
      <c r="A50" s="145" t="s">
        <v>464</v>
      </c>
      <c r="B50" s="146">
        <v>63</v>
      </c>
      <c r="C50" s="147">
        <v>81</v>
      </c>
      <c r="D50" s="147">
        <v>106</v>
      </c>
      <c r="E50" s="147">
        <v>213</v>
      </c>
      <c r="F50" s="147">
        <v>346</v>
      </c>
      <c r="G50" s="147">
        <v>410</v>
      </c>
      <c r="H50" s="147">
        <v>465</v>
      </c>
      <c r="I50" s="147">
        <v>449</v>
      </c>
      <c r="J50" s="147">
        <v>313</v>
      </c>
      <c r="K50" s="147">
        <v>215</v>
      </c>
      <c r="L50" s="147">
        <v>112</v>
      </c>
      <c r="M50" s="148">
        <v>64</v>
      </c>
      <c r="N50" s="149">
        <f t="shared" si="1"/>
        <v>2837</v>
      </c>
      <c r="O50" s="134"/>
      <c r="P50" s="134"/>
      <c r="Q50" s="134"/>
    </row>
    <row r="51" spans="1:17" x14ac:dyDescent="0.25">
      <c r="A51" s="145" t="s">
        <v>465</v>
      </c>
      <c r="B51" s="146">
        <v>5</v>
      </c>
      <c r="C51" s="147">
        <v>3</v>
      </c>
      <c r="D51" s="147">
        <v>11</v>
      </c>
      <c r="E51" s="147">
        <v>64</v>
      </c>
      <c r="F51" s="147">
        <v>231</v>
      </c>
      <c r="G51" s="147">
        <v>277</v>
      </c>
      <c r="H51" s="147">
        <v>267</v>
      </c>
      <c r="I51" s="147">
        <v>299</v>
      </c>
      <c r="J51" s="147">
        <v>287</v>
      </c>
      <c r="K51" s="147">
        <v>314</v>
      </c>
      <c r="L51" s="147">
        <v>135</v>
      </c>
      <c r="M51" s="148">
        <v>34</v>
      </c>
      <c r="N51" s="149">
        <f t="shared" si="1"/>
        <v>1927</v>
      </c>
      <c r="O51" s="134"/>
      <c r="P51" s="134"/>
      <c r="Q51" s="134"/>
    </row>
    <row r="52" spans="1:17" x14ac:dyDescent="0.25">
      <c r="A52" s="145" t="s">
        <v>466</v>
      </c>
      <c r="B52" s="146">
        <v>18</v>
      </c>
      <c r="C52" s="147">
        <v>26</v>
      </c>
      <c r="D52" s="147">
        <v>48</v>
      </c>
      <c r="E52" s="147">
        <v>115</v>
      </c>
      <c r="F52" s="147">
        <v>187</v>
      </c>
      <c r="G52" s="147">
        <v>255</v>
      </c>
      <c r="H52" s="147">
        <v>265</v>
      </c>
      <c r="I52" s="147">
        <v>268</v>
      </c>
      <c r="J52" s="147">
        <v>136</v>
      </c>
      <c r="K52" s="147">
        <v>65</v>
      </c>
      <c r="L52" s="147">
        <v>35</v>
      </c>
      <c r="M52" s="148">
        <v>16</v>
      </c>
      <c r="N52" s="149">
        <f t="shared" si="1"/>
        <v>1434</v>
      </c>
      <c r="O52" s="134"/>
      <c r="P52" s="134"/>
      <c r="Q52" s="134"/>
    </row>
    <row r="53" spans="1:17" x14ac:dyDescent="0.25">
      <c r="A53" s="145" t="s">
        <v>467</v>
      </c>
      <c r="B53" s="146">
        <v>22</v>
      </c>
      <c r="C53" s="147">
        <v>25</v>
      </c>
      <c r="D53" s="147">
        <v>44</v>
      </c>
      <c r="E53" s="147">
        <v>105</v>
      </c>
      <c r="F53" s="147">
        <v>226</v>
      </c>
      <c r="G53" s="147">
        <v>281</v>
      </c>
      <c r="H53" s="147">
        <v>330</v>
      </c>
      <c r="I53" s="147">
        <v>298</v>
      </c>
      <c r="J53" s="147">
        <v>229</v>
      </c>
      <c r="K53" s="147">
        <v>172</v>
      </c>
      <c r="L53" s="147">
        <v>66</v>
      </c>
      <c r="M53" s="148">
        <v>20</v>
      </c>
      <c r="N53" s="149">
        <f t="shared" si="1"/>
        <v>1818</v>
      </c>
      <c r="O53" s="134"/>
      <c r="P53" s="134"/>
      <c r="Q53" s="134"/>
    </row>
    <row r="54" spans="1:17" x14ac:dyDescent="0.25">
      <c r="A54" s="145" t="s">
        <v>468</v>
      </c>
      <c r="B54" s="146">
        <v>37</v>
      </c>
      <c r="C54" s="147">
        <v>47</v>
      </c>
      <c r="D54" s="147">
        <v>83</v>
      </c>
      <c r="E54" s="147">
        <v>142</v>
      </c>
      <c r="F54" s="147">
        <v>234</v>
      </c>
      <c r="G54" s="147">
        <v>375</v>
      </c>
      <c r="H54" s="147">
        <v>433</v>
      </c>
      <c r="I54" s="147">
        <v>456</v>
      </c>
      <c r="J54" s="147">
        <v>328</v>
      </c>
      <c r="K54" s="147">
        <v>226</v>
      </c>
      <c r="L54" s="147">
        <v>96</v>
      </c>
      <c r="M54" s="148">
        <v>36</v>
      </c>
      <c r="N54" s="149">
        <f t="shared" si="1"/>
        <v>2493</v>
      </c>
      <c r="O54" s="134"/>
      <c r="P54" s="134"/>
      <c r="Q54" s="134"/>
    </row>
    <row r="55" spans="1:17" x14ac:dyDescent="0.25">
      <c r="A55" s="145" t="s">
        <v>403</v>
      </c>
      <c r="B55" s="146">
        <v>12</v>
      </c>
      <c r="C55" s="147">
        <v>4</v>
      </c>
      <c r="D55" s="147">
        <v>13</v>
      </c>
      <c r="E55" s="147">
        <v>51</v>
      </c>
      <c r="F55" s="147">
        <v>207</v>
      </c>
      <c r="G55" s="147">
        <v>294</v>
      </c>
      <c r="H55" s="147">
        <v>307</v>
      </c>
      <c r="I55" s="147">
        <v>281</v>
      </c>
      <c r="J55" s="147">
        <v>305</v>
      </c>
      <c r="K55" s="147">
        <v>291</v>
      </c>
      <c r="L55" s="147">
        <v>135</v>
      </c>
      <c r="M55" s="148">
        <v>28</v>
      </c>
      <c r="N55" s="149">
        <f t="shared" si="1"/>
        <v>1928</v>
      </c>
      <c r="O55" s="134"/>
      <c r="P55" s="134"/>
      <c r="Q55" s="134"/>
    </row>
    <row r="56" spans="1:17" x14ac:dyDescent="0.25">
      <c r="A56" s="145" t="s">
        <v>469</v>
      </c>
      <c r="B56" s="146">
        <v>13</v>
      </c>
      <c r="C56" s="147">
        <v>11</v>
      </c>
      <c r="D56" s="147">
        <v>24</v>
      </c>
      <c r="E56" s="147">
        <v>104</v>
      </c>
      <c r="F56" s="147">
        <v>203</v>
      </c>
      <c r="G56" s="147">
        <v>265</v>
      </c>
      <c r="H56" s="147">
        <v>257</v>
      </c>
      <c r="I56" s="147">
        <v>234</v>
      </c>
      <c r="J56" s="147">
        <v>353</v>
      </c>
      <c r="K56" s="147">
        <v>317</v>
      </c>
      <c r="L56" s="147">
        <v>139</v>
      </c>
      <c r="M56" s="148">
        <v>48</v>
      </c>
      <c r="N56" s="149">
        <f t="shared" si="1"/>
        <v>1968</v>
      </c>
      <c r="O56" s="134"/>
      <c r="P56" s="134"/>
      <c r="Q56" s="134"/>
    </row>
    <row r="57" spans="1:17" x14ac:dyDescent="0.25">
      <c r="A57" s="145" t="s">
        <v>470</v>
      </c>
      <c r="B57" s="146">
        <v>26</v>
      </c>
      <c r="C57" s="147">
        <v>27</v>
      </c>
      <c r="D57" s="147">
        <v>49</v>
      </c>
      <c r="E57" s="147">
        <v>84</v>
      </c>
      <c r="F57" s="147">
        <v>164</v>
      </c>
      <c r="G57" s="147">
        <v>201</v>
      </c>
      <c r="H57" s="147">
        <v>207</v>
      </c>
      <c r="I57" s="147">
        <v>298</v>
      </c>
      <c r="J57" s="147">
        <v>318</v>
      </c>
      <c r="K57" s="147">
        <v>224</v>
      </c>
      <c r="L57" s="147">
        <v>65</v>
      </c>
      <c r="M57" s="148">
        <v>25</v>
      </c>
      <c r="N57" s="149">
        <f t="shared" si="1"/>
        <v>1688</v>
      </c>
      <c r="O57" s="134"/>
      <c r="P57" s="134"/>
      <c r="Q57" s="134"/>
    </row>
    <row r="58" spans="1:17" x14ac:dyDescent="0.25">
      <c r="A58" s="145" t="s">
        <v>471</v>
      </c>
      <c r="B58" s="146">
        <v>25</v>
      </c>
      <c r="C58" s="147">
        <v>35</v>
      </c>
      <c r="D58" s="147">
        <v>62</v>
      </c>
      <c r="E58" s="147">
        <v>121</v>
      </c>
      <c r="F58" s="147">
        <v>232</v>
      </c>
      <c r="G58" s="147">
        <v>338</v>
      </c>
      <c r="H58" s="147">
        <v>410</v>
      </c>
      <c r="I58" s="147">
        <v>347</v>
      </c>
      <c r="J58" s="147">
        <v>237</v>
      </c>
      <c r="K58" s="147">
        <v>146</v>
      </c>
      <c r="L58" s="147">
        <v>49</v>
      </c>
      <c r="M58" s="148">
        <v>24</v>
      </c>
      <c r="N58" s="149">
        <f t="shared" si="1"/>
        <v>2026</v>
      </c>
      <c r="O58" s="134"/>
      <c r="P58" s="134"/>
      <c r="Q58" s="134"/>
    </row>
    <row r="59" spans="1:17" x14ac:dyDescent="0.25">
      <c r="A59" s="145" t="s">
        <v>472</v>
      </c>
      <c r="B59" s="146">
        <v>22</v>
      </c>
      <c r="C59" s="147">
        <v>27</v>
      </c>
      <c r="D59" s="147">
        <v>40</v>
      </c>
      <c r="E59" s="147">
        <v>56</v>
      </c>
      <c r="F59" s="147">
        <v>137</v>
      </c>
      <c r="G59" s="147">
        <v>193</v>
      </c>
      <c r="H59" s="147">
        <v>187</v>
      </c>
      <c r="I59" s="147">
        <v>275</v>
      </c>
      <c r="J59" s="147">
        <v>409</v>
      </c>
      <c r="K59" s="147">
        <v>288</v>
      </c>
      <c r="L59" s="147">
        <v>87</v>
      </c>
      <c r="M59" s="148">
        <v>27</v>
      </c>
      <c r="N59" s="149">
        <f t="shared" si="1"/>
        <v>1748</v>
      </c>
      <c r="O59" s="134"/>
      <c r="P59" s="134"/>
      <c r="Q59" s="134"/>
    </row>
    <row r="60" spans="1:17" x14ac:dyDescent="0.25">
      <c r="A60" s="145" t="s">
        <v>473</v>
      </c>
      <c r="B60" s="146">
        <v>117</v>
      </c>
      <c r="C60" s="147">
        <v>68</v>
      </c>
      <c r="D60" s="147">
        <v>43</v>
      </c>
      <c r="E60" s="147">
        <v>51</v>
      </c>
      <c r="F60" s="147">
        <v>109</v>
      </c>
      <c r="G60" s="147">
        <v>238</v>
      </c>
      <c r="H60" s="147">
        <v>237</v>
      </c>
      <c r="I60" s="147">
        <v>236</v>
      </c>
      <c r="J60" s="147">
        <v>247</v>
      </c>
      <c r="K60" s="147">
        <v>285</v>
      </c>
      <c r="L60" s="147">
        <v>409</v>
      </c>
      <c r="M60" s="148">
        <v>373</v>
      </c>
      <c r="N60" s="149">
        <f t="shared" si="1"/>
        <v>2413</v>
      </c>
      <c r="O60" s="134"/>
      <c r="P60" s="134"/>
      <c r="Q60" s="134"/>
    </row>
    <row r="61" spans="1:17" x14ac:dyDescent="0.25">
      <c r="A61" s="145" t="s">
        <v>474</v>
      </c>
      <c r="B61" s="146">
        <v>57</v>
      </c>
      <c r="C61" s="147">
        <v>20</v>
      </c>
      <c r="D61" s="147">
        <v>25</v>
      </c>
      <c r="E61" s="147">
        <v>34</v>
      </c>
      <c r="F61" s="147">
        <v>77</v>
      </c>
      <c r="G61" s="147">
        <v>56</v>
      </c>
      <c r="H61" s="147">
        <v>45</v>
      </c>
      <c r="I61" s="147">
        <v>52</v>
      </c>
      <c r="J61" s="147">
        <v>234</v>
      </c>
      <c r="K61" s="147">
        <v>579</v>
      </c>
      <c r="L61" s="147">
        <v>454</v>
      </c>
      <c r="M61" s="148">
        <v>194</v>
      </c>
      <c r="N61" s="149">
        <f t="shared" si="1"/>
        <v>1827</v>
      </c>
      <c r="O61" s="134"/>
      <c r="P61" s="134"/>
      <c r="Q61" s="134"/>
    </row>
    <row r="62" spans="1:17" x14ac:dyDescent="0.25">
      <c r="A62" s="145" t="s">
        <v>475</v>
      </c>
      <c r="B62" s="146">
        <v>23</v>
      </c>
      <c r="C62" s="147">
        <v>29</v>
      </c>
      <c r="D62" s="147">
        <v>53</v>
      </c>
      <c r="E62" s="147">
        <v>115</v>
      </c>
      <c r="F62" s="147">
        <v>220</v>
      </c>
      <c r="G62" s="147">
        <v>280</v>
      </c>
      <c r="H62" s="147">
        <v>278</v>
      </c>
      <c r="I62" s="147">
        <v>298</v>
      </c>
      <c r="J62" s="147">
        <v>179</v>
      </c>
      <c r="K62" s="147">
        <v>132</v>
      </c>
      <c r="L62" s="147">
        <v>49</v>
      </c>
      <c r="M62" s="148">
        <v>18</v>
      </c>
      <c r="N62" s="149">
        <f t="shared" si="1"/>
        <v>1674</v>
      </c>
      <c r="O62" s="134"/>
      <c r="P62" s="134"/>
      <c r="Q62" s="134"/>
    </row>
    <row r="63" spans="1:17" x14ac:dyDescent="0.25">
      <c r="A63" s="145" t="s">
        <v>476</v>
      </c>
      <c r="B63" s="146">
        <v>21</v>
      </c>
      <c r="C63" s="147">
        <v>24</v>
      </c>
      <c r="D63" s="147">
        <v>44</v>
      </c>
      <c r="E63" s="147">
        <v>96</v>
      </c>
      <c r="F63" s="147">
        <v>193</v>
      </c>
      <c r="G63" s="147">
        <v>272</v>
      </c>
      <c r="H63" s="147">
        <v>292</v>
      </c>
      <c r="I63" s="147">
        <v>362</v>
      </c>
      <c r="J63" s="147">
        <v>233</v>
      </c>
      <c r="K63" s="147">
        <v>115</v>
      </c>
      <c r="L63" s="147">
        <v>27</v>
      </c>
      <c r="M63" s="148">
        <v>17</v>
      </c>
      <c r="N63" s="149">
        <f t="shared" si="1"/>
        <v>1696</v>
      </c>
      <c r="O63" s="134"/>
      <c r="P63" s="134"/>
      <c r="Q63" s="134"/>
    </row>
    <row r="64" spans="1:17" x14ac:dyDescent="0.25">
      <c r="A64" s="145" t="s">
        <v>477</v>
      </c>
      <c r="B64" s="146">
        <v>26</v>
      </c>
      <c r="C64" s="147">
        <v>30</v>
      </c>
      <c r="D64" s="147">
        <v>44</v>
      </c>
      <c r="E64" s="147">
        <v>102</v>
      </c>
      <c r="F64" s="147">
        <v>185</v>
      </c>
      <c r="G64" s="147">
        <v>269</v>
      </c>
      <c r="H64" s="147">
        <v>267</v>
      </c>
      <c r="I64" s="147">
        <v>277</v>
      </c>
      <c r="J64" s="147">
        <v>188</v>
      </c>
      <c r="K64" s="147">
        <v>148</v>
      </c>
      <c r="L64" s="147">
        <v>55</v>
      </c>
      <c r="M64" s="148">
        <v>19</v>
      </c>
      <c r="N64" s="149">
        <f t="shared" si="1"/>
        <v>1610</v>
      </c>
      <c r="O64" s="134"/>
      <c r="P64" s="134"/>
      <c r="Q64" s="134"/>
    </row>
    <row r="65" spans="1:17" x14ac:dyDescent="0.25">
      <c r="A65" s="145" t="s">
        <v>478</v>
      </c>
      <c r="B65" s="146">
        <v>52</v>
      </c>
      <c r="C65" s="147">
        <v>42</v>
      </c>
      <c r="D65" s="147">
        <v>45</v>
      </c>
      <c r="E65" s="147">
        <v>64</v>
      </c>
      <c r="F65" s="147">
        <v>132</v>
      </c>
      <c r="G65" s="147">
        <v>117</v>
      </c>
      <c r="H65" s="147">
        <v>118</v>
      </c>
      <c r="I65" s="147">
        <v>223</v>
      </c>
      <c r="J65" s="147">
        <v>517</v>
      </c>
      <c r="K65" s="147">
        <v>542</v>
      </c>
      <c r="L65" s="147">
        <v>187</v>
      </c>
      <c r="M65" s="148">
        <v>74</v>
      </c>
      <c r="N65" s="149">
        <f t="shared" si="1"/>
        <v>2113</v>
      </c>
      <c r="O65" s="134"/>
      <c r="P65" s="134"/>
      <c r="Q65" s="134"/>
    </row>
    <row r="66" spans="1:17" x14ac:dyDescent="0.25">
      <c r="A66" s="145" t="s">
        <v>479</v>
      </c>
      <c r="B66" s="146">
        <v>21</v>
      </c>
      <c r="C66" s="147">
        <v>24</v>
      </c>
      <c r="D66" s="147">
        <v>39</v>
      </c>
      <c r="E66" s="147">
        <v>101</v>
      </c>
      <c r="F66" s="147">
        <v>177</v>
      </c>
      <c r="G66" s="147">
        <v>252</v>
      </c>
      <c r="H66" s="147">
        <v>252</v>
      </c>
      <c r="I66" s="147">
        <v>298</v>
      </c>
      <c r="J66" s="147">
        <v>185</v>
      </c>
      <c r="K66" s="147">
        <v>135</v>
      </c>
      <c r="L66" s="147">
        <v>54</v>
      </c>
      <c r="M66" s="148">
        <v>17</v>
      </c>
      <c r="N66" s="149">
        <f t="shared" si="1"/>
        <v>1555</v>
      </c>
      <c r="O66" s="134"/>
      <c r="P66" s="134"/>
      <c r="Q66" s="134"/>
    </row>
    <row r="67" spans="1:17" x14ac:dyDescent="0.25">
      <c r="A67" s="145" t="s">
        <v>480</v>
      </c>
      <c r="B67" s="146">
        <v>2</v>
      </c>
      <c r="C67" s="147">
        <v>0</v>
      </c>
      <c r="D67" s="147">
        <v>5</v>
      </c>
      <c r="E67" s="147">
        <v>28</v>
      </c>
      <c r="F67" s="147">
        <v>191</v>
      </c>
      <c r="G67" s="147">
        <v>216</v>
      </c>
      <c r="H67" s="147">
        <v>234</v>
      </c>
      <c r="I67" s="147">
        <v>212</v>
      </c>
      <c r="J67" s="147">
        <v>233</v>
      </c>
      <c r="K67" s="147">
        <v>236</v>
      </c>
      <c r="L67" s="147">
        <v>66</v>
      </c>
      <c r="M67" s="148">
        <v>14</v>
      </c>
      <c r="N67" s="149">
        <f t="shared" si="1"/>
        <v>1437</v>
      </c>
      <c r="O67" s="134"/>
      <c r="P67" s="134"/>
      <c r="Q67" s="134"/>
    </row>
    <row r="68" spans="1:17" ht="15.75" thickBot="1" x14ac:dyDescent="0.3">
      <c r="A68" s="150" t="s">
        <v>481</v>
      </c>
      <c r="B68" s="151">
        <v>33</v>
      </c>
      <c r="C68" s="152">
        <v>45</v>
      </c>
      <c r="D68" s="152">
        <v>75</v>
      </c>
      <c r="E68" s="152">
        <v>131</v>
      </c>
      <c r="F68" s="152">
        <v>219</v>
      </c>
      <c r="G68" s="152">
        <v>291</v>
      </c>
      <c r="H68" s="152">
        <v>310</v>
      </c>
      <c r="I68" s="152">
        <v>364</v>
      </c>
      <c r="J68" s="152">
        <v>283</v>
      </c>
      <c r="K68" s="152">
        <v>180</v>
      </c>
      <c r="L68" s="152">
        <v>66</v>
      </c>
      <c r="M68" s="153">
        <v>27</v>
      </c>
      <c r="N68" s="154">
        <f t="shared" si="1"/>
        <v>2024</v>
      </c>
      <c r="O68" s="134"/>
      <c r="P68" s="134"/>
      <c r="Q68" s="134"/>
    </row>
    <row r="69" spans="1:17" x14ac:dyDescent="0.25">
      <c r="A69" s="134"/>
      <c r="B69" s="134"/>
      <c r="C69" s="134"/>
      <c r="D69" s="134"/>
      <c r="E69" s="134"/>
      <c r="F69" s="134"/>
      <c r="G69" s="134"/>
      <c r="H69" s="134"/>
      <c r="I69" s="134"/>
      <c r="J69" s="134"/>
      <c r="K69" s="134"/>
      <c r="L69" s="134"/>
      <c r="M69" s="134"/>
      <c r="N69" s="134"/>
      <c r="O69" s="134"/>
      <c r="P69" s="134"/>
      <c r="Q69" s="134"/>
    </row>
    <row r="70" spans="1:17" ht="15.75" thickBot="1" x14ac:dyDescent="0.3">
      <c r="A70" s="134"/>
      <c r="B70" s="134"/>
      <c r="C70" s="134"/>
      <c r="D70" s="134"/>
      <c r="E70" s="134"/>
      <c r="F70" s="134"/>
      <c r="G70" s="134"/>
      <c r="H70" s="134"/>
      <c r="I70" s="134"/>
      <c r="J70" s="134"/>
      <c r="K70" s="134"/>
      <c r="L70" s="134"/>
      <c r="M70" s="134"/>
      <c r="N70" s="134"/>
      <c r="O70" s="134"/>
      <c r="P70" s="134"/>
      <c r="Q70" s="134"/>
    </row>
    <row r="71" spans="1:17" ht="18.75" thickBot="1" x14ac:dyDescent="0.3">
      <c r="A71" s="2187" t="s">
        <v>482</v>
      </c>
      <c r="B71" s="2188"/>
      <c r="C71" s="2188"/>
      <c r="D71" s="2188"/>
      <c r="E71" s="2188"/>
      <c r="F71" s="2188"/>
      <c r="G71" s="131"/>
      <c r="H71" s="131"/>
      <c r="I71" s="131"/>
      <c r="J71" s="131"/>
      <c r="K71" s="131"/>
      <c r="L71" s="131"/>
      <c r="M71" s="131"/>
      <c r="N71" s="131"/>
      <c r="O71" s="131"/>
      <c r="P71" s="131"/>
      <c r="Q71" s="155"/>
    </row>
    <row r="72" spans="1:17" x14ac:dyDescent="0.25">
      <c r="A72" s="133" t="s">
        <v>405</v>
      </c>
      <c r="B72" s="134"/>
      <c r="C72" s="134"/>
      <c r="D72" s="134"/>
      <c r="E72" s="134"/>
      <c r="F72" s="134"/>
      <c r="G72" s="134"/>
      <c r="H72" s="134"/>
      <c r="I72" s="134"/>
      <c r="J72" s="134"/>
      <c r="K72" s="134"/>
      <c r="L72" s="134"/>
      <c r="M72" s="134"/>
      <c r="N72" s="134"/>
      <c r="O72" s="134"/>
      <c r="P72" s="134"/>
      <c r="Q72" s="134"/>
    </row>
    <row r="73" spans="1:17" ht="15.75" thickBot="1" x14ac:dyDescent="0.3">
      <c r="A73" s="133"/>
      <c r="B73" s="134"/>
      <c r="C73" s="134"/>
      <c r="D73" s="134"/>
      <c r="E73" s="134"/>
      <c r="F73" s="134"/>
      <c r="G73" s="134"/>
      <c r="H73" s="134"/>
      <c r="I73" s="134"/>
      <c r="J73" s="134"/>
      <c r="K73" s="134"/>
      <c r="L73" s="134"/>
      <c r="M73" s="134"/>
      <c r="N73" s="134"/>
      <c r="O73" s="134"/>
      <c r="P73" s="134"/>
      <c r="Q73" s="134"/>
    </row>
    <row r="74" spans="1:17" ht="15.75" thickBot="1" x14ac:dyDescent="0.3">
      <c r="A74" s="135"/>
      <c r="B74" s="136" t="s">
        <v>406</v>
      </c>
      <c r="C74" s="137" t="s">
        <v>407</v>
      </c>
      <c r="D74" s="137" t="s">
        <v>408</v>
      </c>
      <c r="E74" s="137" t="s">
        <v>409</v>
      </c>
      <c r="F74" s="137" t="s">
        <v>410</v>
      </c>
      <c r="G74" s="137" t="s">
        <v>411</v>
      </c>
      <c r="H74" s="137" t="s">
        <v>412</v>
      </c>
      <c r="I74" s="137" t="s">
        <v>413</v>
      </c>
      <c r="J74" s="137" t="s">
        <v>414</v>
      </c>
      <c r="K74" s="137" t="s">
        <v>415</v>
      </c>
      <c r="L74" s="137" t="s">
        <v>416</v>
      </c>
      <c r="M74" s="138" t="s">
        <v>417</v>
      </c>
      <c r="N74" s="139" t="s">
        <v>418</v>
      </c>
      <c r="O74" s="134"/>
      <c r="P74" s="134"/>
      <c r="Q74" s="134"/>
    </row>
    <row r="75" spans="1:17" x14ac:dyDescent="0.25">
      <c r="A75" s="140" t="s">
        <v>419</v>
      </c>
      <c r="B75" s="156">
        <v>11.1</v>
      </c>
      <c r="C75" s="157">
        <v>12.2</v>
      </c>
      <c r="D75" s="157">
        <v>15.7</v>
      </c>
      <c r="E75" s="157">
        <v>14.9</v>
      </c>
      <c r="F75" s="157">
        <v>16.7</v>
      </c>
      <c r="G75" s="157">
        <v>16.7</v>
      </c>
      <c r="H75" s="157">
        <v>17.600000000000001</v>
      </c>
      <c r="I75" s="157">
        <v>17.2</v>
      </c>
      <c r="J75" s="157">
        <v>13.1</v>
      </c>
      <c r="K75" s="157">
        <v>11.1</v>
      </c>
      <c r="L75" s="157">
        <v>7.4</v>
      </c>
      <c r="M75" s="158">
        <v>5.3</v>
      </c>
      <c r="N75" s="144">
        <f t="shared" ref="N75:N138" si="2">SUM(B75:M75)</f>
        <v>159.00000000000003</v>
      </c>
      <c r="O75" s="134"/>
      <c r="P75" s="134"/>
      <c r="Q75" s="134"/>
    </row>
    <row r="76" spans="1:17" x14ac:dyDescent="0.25">
      <c r="A76" s="145" t="s">
        <v>420</v>
      </c>
      <c r="B76" s="159">
        <v>8.3000000000000007</v>
      </c>
      <c r="C76" s="160">
        <v>10.6</v>
      </c>
      <c r="D76" s="160">
        <v>14.9</v>
      </c>
      <c r="E76" s="160">
        <v>14</v>
      </c>
      <c r="F76" s="160">
        <v>13.8</v>
      </c>
      <c r="G76" s="160">
        <v>15.4</v>
      </c>
      <c r="H76" s="160">
        <v>14.9</v>
      </c>
      <c r="I76" s="160">
        <v>16.600000000000001</v>
      </c>
      <c r="J76" s="160">
        <v>11.9</v>
      </c>
      <c r="K76" s="160">
        <v>10.1</v>
      </c>
      <c r="L76" s="160">
        <v>6.5</v>
      </c>
      <c r="M76" s="161">
        <v>4.3</v>
      </c>
      <c r="N76" s="149">
        <f t="shared" si="2"/>
        <v>141.30000000000001</v>
      </c>
      <c r="O76" s="134"/>
      <c r="P76" s="134"/>
      <c r="Q76" s="134"/>
    </row>
    <row r="77" spans="1:17" x14ac:dyDescent="0.25">
      <c r="A77" s="145" t="s">
        <v>421</v>
      </c>
      <c r="B77" s="159">
        <v>9.1999999999999993</v>
      </c>
      <c r="C77" s="160">
        <v>9.8000000000000007</v>
      </c>
      <c r="D77" s="160">
        <v>13.2</v>
      </c>
      <c r="E77" s="160">
        <v>14.2</v>
      </c>
      <c r="F77" s="160">
        <v>15.5</v>
      </c>
      <c r="G77" s="160">
        <v>17.399999999999999</v>
      </c>
      <c r="H77" s="160">
        <v>19.100000000000001</v>
      </c>
      <c r="I77" s="160">
        <v>18.899999999999999</v>
      </c>
      <c r="J77" s="160">
        <v>13</v>
      </c>
      <c r="K77" s="160">
        <v>10.1</v>
      </c>
      <c r="L77" s="160">
        <v>7.3</v>
      </c>
      <c r="M77" s="161">
        <v>5.9</v>
      </c>
      <c r="N77" s="149">
        <f t="shared" si="2"/>
        <v>153.60000000000002</v>
      </c>
      <c r="O77" s="134"/>
      <c r="P77" s="134"/>
      <c r="Q77" s="134"/>
    </row>
    <row r="78" spans="1:17" x14ac:dyDescent="0.25">
      <c r="A78" s="145" t="s">
        <v>422</v>
      </c>
      <c r="B78" s="159">
        <v>1.1000000000000001</v>
      </c>
      <c r="C78" s="160">
        <v>1</v>
      </c>
      <c r="D78" s="160">
        <v>3.2</v>
      </c>
      <c r="E78" s="160">
        <v>8.3000000000000007</v>
      </c>
      <c r="F78" s="160">
        <v>19.5</v>
      </c>
      <c r="G78" s="160">
        <v>22.4</v>
      </c>
      <c r="H78" s="160">
        <v>24.6</v>
      </c>
      <c r="I78" s="160">
        <v>25.3</v>
      </c>
      <c r="J78" s="160">
        <v>24.2</v>
      </c>
      <c r="K78" s="160">
        <v>17.7</v>
      </c>
      <c r="L78" s="160">
        <v>11</v>
      </c>
      <c r="M78" s="161">
        <v>5.6</v>
      </c>
      <c r="N78" s="149">
        <f t="shared" si="2"/>
        <v>163.89999999999998</v>
      </c>
      <c r="O78" s="134"/>
      <c r="P78" s="134"/>
      <c r="Q78" s="134"/>
    </row>
    <row r="79" spans="1:17" x14ac:dyDescent="0.25">
      <c r="A79" s="145" t="s">
        <v>423</v>
      </c>
      <c r="B79" s="159">
        <v>3.5</v>
      </c>
      <c r="C79" s="160">
        <v>1.6</v>
      </c>
      <c r="D79" s="160">
        <v>3.3</v>
      </c>
      <c r="E79" s="160">
        <v>8.3000000000000007</v>
      </c>
      <c r="F79" s="160">
        <v>17.8</v>
      </c>
      <c r="G79" s="160">
        <v>21.7</v>
      </c>
      <c r="H79" s="160">
        <v>22.2</v>
      </c>
      <c r="I79" s="160">
        <v>22.6</v>
      </c>
      <c r="J79" s="160">
        <v>22.8</v>
      </c>
      <c r="K79" s="160">
        <v>23.1</v>
      </c>
      <c r="L79" s="160">
        <v>16</v>
      </c>
      <c r="M79" s="161">
        <v>9</v>
      </c>
      <c r="N79" s="149">
        <f t="shared" si="2"/>
        <v>171.9</v>
      </c>
      <c r="O79" s="134"/>
      <c r="P79" s="134"/>
      <c r="Q79" s="134"/>
    </row>
    <row r="80" spans="1:17" x14ac:dyDescent="0.25">
      <c r="A80" s="145" t="s">
        <v>424</v>
      </c>
      <c r="B80" s="159">
        <v>4.7</v>
      </c>
      <c r="C80" s="160">
        <v>2.5</v>
      </c>
      <c r="D80" s="160">
        <v>1.9</v>
      </c>
      <c r="E80" s="160">
        <v>3.4</v>
      </c>
      <c r="F80" s="160">
        <v>8.1999999999999993</v>
      </c>
      <c r="G80" s="160">
        <v>8</v>
      </c>
      <c r="H80" s="160">
        <v>7.7</v>
      </c>
      <c r="I80" s="160">
        <v>8.6999999999999993</v>
      </c>
      <c r="J80" s="160">
        <v>13.7</v>
      </c>
      <c r="K80" s="160">
        <v>15.4</v>
      </c>
      <c r="L80" s="160">
        <v>14.2</v>
      </c>
      <c r="M80" s="161">
        <v>10.8</v>
      </c>
      <c r="N80" s="149">
        <f t="shared" si="2"/>
        <v>99.2</v>
      </c>
      <c r="O80" s="134"/>
      <c r="P80" s="134"/>
      <c r="Q80" s="134"/>
    </row>
    <row r="81" spans="1:17" x14ac:dyDescent="0.25">
      <c r="A81" s="145" t="s">
        <v>425</v>
      </c>
      <c r="B81" s="159">
        <v>1.8</v>
      </c>
      <c r="C81" s="160">
        <v>0.7</v>
      </c>
      <c r="D81" s="160">
        <v>1.7</v>
      </c>
      <c r="E81" s="160">
        <v>5.6</v>
      </c>
      <c r="F81" s="160">
        <v>16.100000000000001</v>
      </c>
      <c r="G81" s="160">
        <v>20.5</v>
      </c>
      <c r="H81" s="160">
        <v>21.7</v>
      </c>
      <c r="I81" s="160">
        <v>22.3</v>
      </c>
      <c r="J81" s="160">
        <v>22.9</v>
      </c>
      <c r="K81" s="160">
        <v>22.2</v>
      </c>
      <c r="L81" s="160">
        <v>14.2</v>
      </c>
      <c r="M81" s="161">
        <v>6.3</v>
      </c>
      <c r="N81" s="149">
        <f t="shared" si="2"/>
        <v>156</v>
      </c>
      <c r="O81" s="134"/>
      <c r="P81" s="134"/>
      <c r="Q81" s="134"/>
    </row>
    <row r="82" spans="1:17" x14ac:dyDescent="0.25">
      <c r="A82" s="145" t="s">
        <v>426</v>
      </c>
      <c r="B82" s="159">
        <v>0.9</v>
      </c>
      <c r="C82" s="160">
        <v>0.5</v>
      </c>
      <c r="D82" s="160">
        <v>1.1000000000000001</v>
      </c>
      <c r="E82" s="160">
        <v>5</v>
      </c>
      <c r="F82" s="160">
        <v>17</v>
      </c>
      <c r="G82" s="160">
        <v>18.899999999999999</v>
      </c>
      <c r="H82" s="160">
        <v>21.4</v>
      </c>
      <c r="I82" s="160">
        <v>20.9</v>
      </c>
      <c r="J82" s="160">
        <v>22.2</v>
      </c>
      <c r="K82" s="160">
        <v>19.7</v>
      </c>
      <c r="L82" s="160">
        <v>10.9</v>
      </c>
      <c r="M82" s="161">
        <v>4.5</v>
      </c>
      <c r="N82" s="149">
        <f t="shared" si="2"/>
        <v>143</v>
      </c>
      <c r="O82" s="134"/>
      <c r="P82" s="134"/>
      <c r="Q82" s="134"/>
    </row>
    <row r="83" spans="1:17" x14ac:dyDescent="0.25">
      <c r="A83" s="145" t="s">
        <v>427</v>
      </c>
      <c r="B83" s="159">
        <v>8.6</v>
      </c>
      <c r="C83" s="160">
        <v>9.1999999999999993</v>
      </c>
      <c r="D83" s="160">
        <v>10</v>
      </c>
      <c r="E83" s="160">
        <v>11.5</v>
      </c>
      <c r="F83" s="160">
        <v>14.8</v>
      </c>
      <c r="G83" s="160">
        <v>16.899999999999999</v>
      </c>
      <c r="H83" s="160">
        <v>18.899999999999999</v>
      </c>
      <c r="I83" s="160">
        <v>18.2</v>
      </c>
      <c r="J83" s="160">
        <v>12.4</v>
      </c>
      <c r="K83" s="160">
        <v>10.3</v>
      </c>
      <c r="L83" s="160">
        <v>7.2</v>
      </c>
      <c r="M83" s="161">
        <v>5.6</v>
      </c>
      <c r="N83" s="149">
        <f t="shared" si="2"/>
        <v>143.6</v>
      </c>
      <c r="O83" s="134"/>
      <c r="P83" s="134"/>
      <c r="Q83" s="134"/>
    </row>
    <row r="84" spans="1:17" x14ac:dyDescent="0.25">
      <c r="A84" s="145" t="s">
        <v>428</v>
      </c>
      <c r="B84" s="159">
        <v>1.6</v>
      </c>
      <c r="C84" s="160">
        <v>0.7</v>
      </c>
      <c r="D84" s="160">
        <v>1.4</v>
      </c>
      <c r="E84" s="160">
        <v>4.5</v>
      </c>
      <c r="F84" s="160">
        <v>13.6</v>
      </c>
      <c r="G84" s="160">
        <v>16.2</v>
      </c>
      <c r="H84" s="160">
        <v>17.399999999999999</v>
      </c>
      <c r="I84" s="160">
        <v>17</v>
      </c>
      <c r="J84" s="160">
        <v>19.100000000000001</v>
      </c>
      <c r="K84" s="160">
        <v>20.2</v>
      </c>
      <c r="L84" s="160">
        <v>12.1</v>
      </c>
      <c r="M84" s="161">
        <v>5.0999999999999996</v>
      </c>
      <c r="N84" s="149">
        <f t="shared" si="2"/>
        <v>128.9</v>
      </c>
      <c r="O84" s="134"/>
      <c r="P84" s="134"/>
      <c r="Q84" s="134"/>
    </row>
    <row r="85" spans="1:17" x14ac:dyDescent="0.25">
      <c r="A85" s="145" t="s">
        <v>429</v>
      </c>
      <c r="B85" s="159">
        <v>1.9</v>
      </c>
      <c r="C85" s="160">
        <v>1</v>
      </c>
      <c r="D85" s="160">
        <v>2.6</v>
      </c>
      <c r="E85" s="160">
        <v>8.5</v>
      </c>
      <c r="F85" s="160">
        <v>16</v>
      </c>
      <c r="G85" s="160">
        <v>17.8</v>
      </c>
      <c r="H85" s="160">
        <v>18.8</v>
      </c>
      <c r="I85" s="160">
        <v>18.7</v>
      </c>
      <c r="J85" s="160">
        <v>19.7</v>
      </c>
      <c r="K85" s="160">
        <v>20.5</v>
      </c>
      <c r="L85" s="160">
        <v>13.5</v>
      </c>
      <c r="M85" s="161">
        <v>4.7</v>
      </c>
      <c r="N85" s="149">
        <f t="shared" si="2"/>
        <v>143.69999999999999</v>
      </c>
      <c r="O85" s="134"/>
      <c r="P85" s="134"/>
      <c r="Q85" s="134"/>
    </row>
    <row r="86" spans="1:17" x14ac:dyDescent="0.25">
      <c r="A86" s="145" t="s">
        <v>430</v>
      </c>
      <c r="B86" s="159">
        <v>1.1000000000000001</v>
      </c>
      <c r="C86" s="160">
        <v>0.4</v>
      </c>
      <c r="D86" s="160">
        <v>1.2</v>
      </c>
      <c r="E86" s="160">
        <v>4.8</v>
      </c>
      <c r="F86" s="160">
        <v>13.2</v>
      </c>
      <c r="G86" s="160">
        <v>19</v>
      </c>
      <c r="H86" s="160">
        <v>17.899999999999999</v>
      </c>
      <c r="I86" s="160">
        <v>19.100000000000001</v>
      </c>
      <c r="J86" s="160">
        <v>19.100000000000001</v>
      </c>
      <c r="K86" s="160">
        <v>19.3</v>
      </c>
      <c r="L86" s="160">
        <v>11.2</v>
      </c>
      <c r="M86" s="161">
        <v>4.3</v>
      </c>
      <c r="N86" s="149">
        <f t="shared" si="2"/>
        <v>130.60000000000002</v>
      </c>
      <c r="O86" s="134"/>
      <c r="P86" s="134"/>
      <c r="Q86" s="134"/>
    </row>
    <row r="87" spans="1:17" x14ac:dyDescent="0.25">
      <c r="A87" s="145" t="s">
        <v>431</v>
      </c>
      <c r="B87" s="159">
        <v>7.4</v>
      </c>
      <c r="C87" s="160">
        <v>11.5</v>
      </c>
      <c r="D87" s="160">
        <v>14.1</v>
      </c>
      <c r="E87" s="160">
        <v>11.6</v>
      </c>
      <c r="F87" s="160">
        <v>11.4</v>
      </c>
      <c r="G87" s="160">
        <v>14.8</v>
      </c>
      <c r="H87" s="160">
        <v>15.7</v>
      </c>
      <c r="I87" s="160">
        <v>18.2</v>
      </c>
      <c r="J87" s="160">
        <v>13.2</v>
      </c>
      <c r="K87" s="160">
        <v>9.1999999999999993</v>
      </c>
      <c r="L87" s="160">
        <v>5.7</v>
      </c>
      <c r="M87" s="161">
        <v>5.3</v>
      </c>
      <c r="N87" s="149">
        <f t="shared" si="2"/>
        <v>138.10000000000002</v>
      </c>
      <c r="O87" s="134"/>
      <c r="P87" s="134"/>
      <c r="Q87" s="134"/>
    </row>
    <row r="88" spans="1:17" x14ac:dyDescent="0.25">
      <c r="A88" s="145" t="s">
        <v>432</v>
      </c>
      <c r="B88" s="159">
        <v>1.9</v>
      </c>
      <c r="C88" s="160">
        <v>2.7</v>
      </c>
      <c r="D88" s="160">
        <v>5</v>
      </c>
      <c r="E88" s="160">
        <v>12.3</v>
      </c>
      <c r="F88" s="160">
        <v>19.100000000000001</v>
      </c>
      <c r="G88" s="160">
        <v>20.9</v>
      </c>
      <c r="H88" s="160">
        <v>23.3</v>
      </c>
      <c r="I88" s="160">
        <v>22.5</v>
      </c>
      <c r="J88" s="160">
        <v>23.7</v>
      </c>
      <c r="K88" s="160">
        <v>19.8</v>
      </c>
      <c r="L88" s="160">
        <v>10.4</v>
      </c>
      <c r="M88" s="161">
        <v>5.6</v>
      </c>
      <c r="N88" s="149">
        <f t="shared" si="2"/>
        <v>167.20000000000002</v>
      </c>
      <c r="O88" s="134"/>
      <c r="P88" s="134"/>
      <c r="Q88" s="134"/>
    </row>
    <row r="89" spans="1:17" x14ac:dyDescent="0.25">
      <c r="A89" s="145" t="s">
        <v>433</v>
      </c>
      <c r="B89" s="159">
        <v>11.6</v>
      </c>
      <c r="C89" s="160">
        <v>6.3</v>
      </c>
      <c r="D89" s="160">
        <v>4.0999999999999996</v>
      </c>
      <c r="E89" s="160">
        <v>5.4</v>
      </c>
      <c r="F89" s="160">
        <v>9.8000000000000007</v>
      </c>
      <c r="G89" s="160">
        <v>8.6999999999999993</v>
      </c>
      <c r="H89" s="160">
        <v>9.1999999999999993</v>
      </c>
      <c r="I89" s="160">
        <v>11</v>
      </c>
      <c r="J89" s="160">
        <v>14.4</v>
      </c>
      <c r="K89" s="160">
        <v>20.100000000000001</v>
      </c>
      <c r="L89" s="160">
        <v>20.5</v>
      </c>
      <c r="M89" s="161">
        <v>18.3</v>
      </c>
      <c r="N89" s="149">
        <f t="shared" si="2"/>
        <v>139.40000000000003</v>
      </c>
      <c r="O89" s="134"/>
      <c r="P89" s="134"/>
      <c r="Q89" s="134"/>
    </row>
    <row r="90" spans="1:17" x14ac:dyDescent="0.25">
      <c r="A90" s="145" t="s">
        <v>434</v>
      </c>
      <c r="B90" s="159">
        <v>4.8</v>
      </c>
      <c r="C90" s="160">
        <v>4</v>
      </c>
      <c r="D90" s="160">
        <v>5.8</v>
      </c>
      <c r="E90" s="160">
        <v>12.4</v>
      </c>
      <c r="F90" s="160">
        <v>17.100000000000001</v>
      </c>
      <c r="G90" s="160">
        <v>20.3</v>
      </c>
      <c r="H90" s="160">
        <v>22.4</v>
      </c>
      <c r="I90" s="160">
        <v>21.3</v>
      </c>
      <c r="J90" s="160">
        <v>13.4</v>
      </c>
      <c r="K90" s="160">
        <v>8.6999999999999993</v>
      </c>
      <c r="L90" s="160">
        <v>5.5</v>
      </c>
      <c r="M90" s="161">
        <v>3.7</v>
      </c>
      <c r="N90" s="149">
        <f t="shared" si="2"/>
        <v>139.4</v>
      </c>
      <c r="O90" s="134"/>
      <c r="P90" s="134"/>
      <c r="Q90" s="134"/>
    </row>
    <row r="91" spans="1:17" x14ac:dyDescent="0.25">
      <c r="A91" s="145" t="s">
        <v>435</v>
      </c>
      <c r="B91" s="159">
        <v>12.2</v>
      </c>
      <c r="C91" s="160">
        <v>11.5</v>
      </c>
      <c r="D91" s="160">
        <v>9.9</v>
      </c>
      <c r="E91" s="160">
        <v>9.8000000000000007</v>
      </c>
      <c r="F91" s="160">
        <v>10.3</v>
      </c>
      <c r="G91" s="160">
        <v>8.9</v>
      </c>
      <c r="H91" s="160">
        <v>7.2</v>
      </c>
      <c r="I91" s="160">
        <v>10.7</v>
      </c>
      <c r="J91" s="160">
        <v>16.5</v>
      </c>
      <c r="K91" s="160">
        <v>20.5</v>
      </c>
      <c r="L91" s="160">
        <v>20.3</v>
      </c>
      <c r="M91" s="161">
        <v>16.899999999999999</v>
      </c>
      <c r="N91" s="149">
        <f t="shared" si="2"/>
        <v>154.70000000000002</v>
      </c>
      <c r="O91" s="134"/>
      <c r="P91" s="134"/>
      <c r="Q91" s="134"/>
    </row>
    <row r="92" spans="1:17" x14ac:dyDescent="0.25">
      <c r="A92" s="145" t="s">
        <v>436</v>
      </c>
      <c r="B92" s="159">
        <v>11.4</v>
      </c>
      <c r="C92" s="160">
        <v>11.6</v>
      </c>
      <c r="D92" s="160">
        <v>11.1</v>
      </c>
      <c r="E92" s="160">
        <v>9.5</v>
      </c>
      <c r="F92" s="160">
        <v>10.3</v>
      </c>
      <c r="G92" s="160">
        <v>7.7</v>
      </c>
      <c r="H92" s="160">
        <v>6.8</v>
      </c>
      <c r="I92" s="160">
        <v>10.8</v>
      </c>
      <c r="J92" s="160">
        <v>15.9</v>
      </c>
      <c r="K92" s="160">
        <v>19.5</v>
      </c>
      <c r="L92" s="160">
        <v>17.8</v>
      </c>
      <c r="M92" s="161">
        <v>14</v>
      </c>
      <c r="N92" s="149">
        <f t="shared" si="2"/>
        <v>146.4</v>
      </c>
      <c r="O92" s="134"/>
      <c r="P92" s="134"/>
      <c r="Q92" s="134"/>
    </row>
    <row r="93" spans="1:17" x14ac:dyDescent="0.25">
      <c r="A93" s="145" t="s">
        <v>437</v>
      </c>
      <c r="B93" s="159">
        <v>9.8000000000000007</v>
      </c>
      <c r="C93" s="160">
        <v>12.2</v>
      </c>
      <c r="D93" s="160">
        <v>15.1</v>
      </c>
      <c r="E93" s="160">
        <v>14.1</v>
      </c>
      <c r="F93" s="160">
        <v>14.4</v>
      </c>
      <c r="G93" s="160">
        <v>14.2</v>
      </c>
      <c r="H93" s="160">
        <v>14.9</v>
      </c>
      <c r="I93" s="160">
        <v>15.7</v>
      </c>
      <c r="J93" s="160">
        <v>13.6</v>
      </c>
      <c r="K93" s="160">
        <v>11.3</v>
      </c>
      <c r="L93" s="160">
        <v>8.4</v>
      </c>
      <c r="M93" s="161">
        <v>6.2</v>
      </c>
      <c r="N93" s="149">
        <f t="shared" si="2"/>
        <v>149.9</v>
      </c>
      <c r="O93" s="134"/>
      <c r="P93" s="134"/>
      <c r="Q93" s="134"/>
    </row>
    <row r="94" spans="1:17" x14ac:dyDescent="0.25">
      <c r="A94" s="145" t="s">
        <v>438</v>
      </c>
      <c r="B94" s="159">
        <v>12.1</v>
      </c>
      <c r="C94" s="160">
        <v>10.6</v>
      </c>
      <c r="D94" s="160">
        <v>12.3</v>
      </c>
      <c r="E94" s="160">
        <v>15.4</v>
      </c>
      <c r="F94" s="160">
        <v>18.399999999999999</v>
      </c>
      <c r="G94" s="160">
        <v>21</v>
      </c>
      <c r="H94" s="160">
        <v>24.2</v>
      </c>
      <c r="I94" s="160">
        <v>21.7</v>
      </c>
      <c r="J94" s="160">
        <v>15.9</v>
      </c>
      <c r="K94" s="160">
        <v>14.1</v>
      </c>
      <c r="L94" s="160">
        <v>10</v>
      </c>
      <c r="M94" s="161">
        <v>8.4</v>
      </c>
      <c r="N94" s="149">
        <f t="shared" si="2"/>
        <v>184.1</v>
      </c>
      <c r="O94" s="134"/>
      <c r="P94" s="134"/>
      <c r="Q94" s="134"/>
    </row>
    <row r="95" spans="1:17" x14ac:dyDescent="0.25">
      <c r="A95" s="145" t="s">
        <v>439</v>
      </c>
      <c r="B95" s="159">
        <v>10.3</v>
      </c>
      <c r="C95" s="160">
        <v>12.4</v>
      </c>
      <c r="D95" s="160">
        <v>16</v>
      </c>
      <c r="E95" s="160">
        <v>14.4</v>
      </c>
      <c r="F95" s="160">
        <v>14.5</v>
      </c>
      <c r="G95" s="160">
        <v>14.6</v>
      </c>
      <c r="H95" s="160">
        <v>15.6</v>
      </c>
      <c r="I95" s="160">
        <v>16.899999999999999</v>
      </c>
      <c r="J95" s="160">
        <v>13.6</v>
      </c>
      <c r="K95" s="160">
        <v>10.9</v>
      </c>
      <c r="L95" s="160">
        <v>7.9</v>
      </c>
      <c r="M95" s="161">
        <v>5</v>
      </c>
      <c r="N95" s="149">
        <f t="shared" si="2"/>
        <v>152.1</v>
      </c>
      <c r="O95" s="134"/>
      <c r="P95" s="134"/>
      <c r="Q95" s="134"/>
    </row>
    <row r="96" spans="1:17" x14ac:dyDescent="0.25">
      <c r="A96" s="145" t="s">
        <v>440</v>
      </c>
      <c r="B96" s="159">
        <v>14.6</v>
      </c>
      <c r="C96" s="160">
        <v>15.8</v>
      </c>
      <c r="D96" s="160">
        <v>14.9</v>
      </c>
      <c r="E96" s="160">
        <v>11.3</v>
      </c>
      <c r="F96" s="160">
        <v>11.1</v>
      </c>
      <c r="G96" s="160">
        <v>8.9</v>
      </c>
      <c r="H96" s="160">
        <v>7.2</v>
      </c>
      <c r="I96" s="160">
        <v>11.5</v>
      </c>
      <c r="J96" s="160">
        <v>14.9</v>
      </c>
      <c r="K96" s="160">
        <v>18.399999999999999</v>
      </c>
      <c r="L96" s="160">
        <v>16.399999999999999</v>
      </c>
      <c r="M96" s="161">
        <v>13.6</v>
      </c>
      <c r="N96" s="149">
        <f t="shared" si="2"/>
        <v>158.6</v>
      </c>
      <c r="O96" s="134"/>
      <c r="P96" s="134"/>
      <c r="Q96" s="134"/>
    </row>
    <row r="97" spans="1:17" x14ac:dyDescent="0.25">
      <c r="A97" s="145" t="s">
        <v>441</v>
      </c>
      <c r="B97" s="159">
        <v>7.9</v>
      </c>
      <c r="C97" s="160">
        <v>11.7</v>
      </c>
      <c r="D97" s="160">
        <v>15.6</v>
      </c>
      <c r="E97" s="160">
        <v>13.1</v>
      </c>
      <c r="F97" s="160">
        <v>12.8</v>
      </c>
      <c r="G97" s="160">
        <v>14.5</v>
      </c>
      <c r="H97" s="160">
        <v>13.4</v>
      </c>
      <c r="I97" s="160">
        <v>16.100000000000001</v>
      </c>
      <c r="J97" s="160">
        <v>13.3</v>
      </c>
      <c r="K97" s="160">
        <v>10.3</v>
      </c>
      <c r="L97" s="160">
        <v>6.4</v>
      </c>
      <c r="M97" s="161">
        <v>4.8</v>
      </c>
      <c r="N97" s="149">
        <f t="shared" si="2"/>
        <v>139.90000000000003</v>
      </c>
      <c r="O97" s="134"/>
      <c r="P97" s="134"/>
      <c r="Q97" s="134"/>
    </row>
    <row r="98" spans="1:17" x14ac:dyDescent="0.25">
      <c r="A98" s="145" t="s">
        <v>442</v>
      </c>
      <c r="B98" s="159">
        <v>8.8000000000000007</v>
      </c>
      <c r="C98" s="160">
        <v>9.6</v>
      </c>
      <c r="D98" s="160">
        <v>11.5</v>
      </c>
      <c r="E98" s="160">
        <v>14</v>
      </c>
      <c r="F98" s="160">
        <v>18</v>
      </c>
      <c r="G98" s="160">
        <v>18.3</v>
      </c>
      <c r="H98" s="160">
        <v>18.899999999999999</v>
      </c>
      <c r="I98" s="160">
        <v>18.2</v>
      </c>
      <c r="J98" s="160">
        <v>14.2</v>
      </c>
      <c r="K98" s="160">
        <v>11.8</v>
      </c>
      <c r="L98" s="160">
        <v>7.3</v>
      </c>
      <c r="M98" s="161">
        <v>5</v>
      </c>
      <c r="N98" s="149">
        <f t="shared" si="2"/>
        <v>155.60000000000002</v>
      </c>
      <c r="O98" s="134"/>
      <c r="P98" s="134"/>
      <c r="Q98" s="134"/>
    </row>
    <row r="99" spans="1:17" x14ac:dyDescent="0.25">
      <c r="A99" s="145" t="s">
        <v>443</v>
      </c>
      <c r="B99" s="159">
        <v>7.5</v>
      </c>
      <c r="C99" s="160">
        <v>5.5</v>
      </c>
      <c r="D99" s="160">
        <v>4.8</v>
      </c>
      <c r="E99" s="160">
        <v>2.4</v>
      </c>
      <c r="F99" s="160">
        <v>6.7</v>
      </c>
      <c r="G99" s="160">
        <v>7.1</v>
      </c>
      <c r="H99" s="160">
        <v>7.8</v>
      </c>
      <c r="I99" s="160">
        <v>9</v>
      </c>
      <c r="J99" s="160">
        <v>11.4</v>
      </c>
      <c r="K99" s="160">
        <v>13.3</v>
      </c>
      <c r="L99" s="160">
        <v>14</v>
      </c>
      <c r="M99" s="161">
        <v>7.9</v>
      </c>
      <c r="N99" s="149">
        <f t="shared" si="2"/>
        <v>97.4</v>
      </c>
      <c r="O99" s="134"/>
      <c r="P99" s="134"/>
      <c r="Q99" s="134"/>
    </row>
    <row r="100" spans="1:17" x14ac:dyDescent="0.25">
      <c r="A100" s="145" t="s">
        <v>444</v>
      </c>
      <c r="B100" s="159">
        <v>7.7</v>
      </c>
      <c r="C100" s="160">
        <v>11</v>
      </c>
      <c r="D100" s="160">
        <v>13.8</v>
      </c>
      <c r="E100" s="160">
        <v>11.6</v>
      </c>
      <c r="F100" s="160">
        <v>11.4</v>
      </c>
      <c r="G100" s="160">
        <v>15.6</v>
      </c>
      <c r="H100" s="160">
        <v>15.6</v>
      </c>
      <c r="I100" s="160">
        <v>18.600000000000001</v>
      </c>
      <c r="J100" s="160">
        <v>14.1</v>
      </c>
      <c r="K100" s="160">
        <v>10.1</v>
      </c>
      <c r="L100" s="160">
        <v>5.7</v>
      </c>
      <c r="M100" s="161">
        <v>5.2</v>
      </c>
      <c r="N100" s="149">
        <f t="shared" si="2"/>
        <v>140.39999999999995</v>
      </c>
      <c r="O100" s="134"/>
      <c r="P100" s="134"/>
      <c r="Q100" s="134"/>
    </row>
    <row r="101" spans="1:17" x14ac:dyDescent="0.25">
      <c r="A101" s="145" t="s">
        <v>445</v>
      </c>
      <c r="B101" s="159">
        <v>14.4</v>
      </c>
      <c r="C101" s="160">
        <v>11.9</v>
      </c>
      <c r="D101" s="160">
        <v>10.3</v>
      </c>
      <c r="E101" s="160">
        <v>10.7</v>
      </c>
      <c r="F101" s="160">
        <v>13</v>
      </c>
      <c r="G101" s="160">
        <v>10.3</v>
      </c>
      <c r="H101" s="160">
        <v>8.1999999999999993</v>
      </c>
      <c r="I101" s="160">
        <v>11</v>
      </c>
      <c r="J101" s="160">
        <v>16.600000000000001</v>
      </c>
      <c r="K101" s="160">
        <v>20.8</v>
      </c>
      <c r="L101" s="160">
        <v>21.5</v>
      </c>
      <c r="M101" s="161">
        <v>19.7</v>
      </c>
      <c r="N101" s="149">
        <f t="shared" si="2"/>
        <v>168.39999999999998</v>
      </c>
      <c r="O101" s="134"/>
      <c r="P101" s="134"/>
      <c r="Q101" s="134"/>
    </row>
    <row r="102" spans="1:17" x14ac:dyDescent="0.25">
      <c r="A102" s="145" t="s">
        <v>446</v>
      </c>
      <c r="B102" s="159">
        <v>9.1</v>
      </c>
      <c r="C102" s="160">
        <v>12.8</v>
      </c>
      <c r="D102" s="160">
        <v>16.600000000000001</v>
      </c>
      <c r="E102" s="160">
        <v>13.8</v>
      </c>
      <c r="F102" s="160">
        <v>13.1</v>
      </c>
      <c r="G102" s="160">
        <v>14.2</v>
      </c>
      <c r="H102" s="160">
        <v>13.1</v>
      </c>
      <c r="I102" s="160">
        <v>15.5</v>
      </c>
      <c r="J102" s="160">
        <v>13.7</v>
      </c>
      <c r="K102" s="160">
        <v>11.2</v>
      </c>
      <c r="L102" s="160">
        <v>7.3</v>
      </c>
      <c r="M102" s="161">
        <v>5.5</v>
      </c>
      <c r="N102" s="149">
        <f t="shared" si="2"/>
        <v>145.9</v>
      </c>
      <c r="O102" s="134"/>
      <c r="P102" s="134"/>
      <c r="Q102" s="134"/>
    </row>
    <row r="103" spans="1:17" x14ac:dyDescent="0.25">
      <c r="A103" s="145" t="s">
        <v>447</v>
      </c>
      <c r="B103" s="159">
        <v>0.4</v>
      </c>
      <c r="C103" s="160">
        <v>1.2</v>
      </c>
      <c r="D103" s="160">
        <v>4</v>
      </c>
      <c r="E103" s="160">
        <v>9.8000000000000007</v>
      </c>
      <c r="F103" s="160">
        <v>18.5</v>
      </c>
      <c r="G103" s="160">
        <v>21.2</v>
      </c>
      <c r="H103" s="160">
        <v>23.8</v>
      </c>
      <c r="I103" s="160">
        <v>25.8</v>
      </c>
      <c r="J103" s="160">
        <v>22.7</v>
      </c>
      <c r="K103" s="160">
        <v>14.1</v>
      </c>
      <c r="L103" s="160">
        <v>6</v>
      </c>
      <c r="M103" s="161">
        <v>1.2</v>
      </c>
      <c r="N103" s="149">
        <f t="shared" si="2"/>
        <v>148.69999999999999</v>
      </c>
      <c r="O103" s="134"/>
      <c r="P103" s="134"/>
      <c r="Q103" s="134"/>
    </row>
    <row r="104" spans="1:17" x14ac:dyDescent="0.25">
      <c r="A104" s="145" t="s">
        <v>448</v>
      </c>
      <c r="B104" s="159">
        <v>5.4</v>
      </c>
      <c r="C104" s="160">
        <v>5.0999999999999996</v>
      </c>
      <c r="D104" s="160">
        <v>7.4</v>
      </c>
      <c r="E104" s="160">
        <v>13.2</v>
      </c>
      <c r="F104" s="160">
        <v>19.5</v>
      </c>
      <c r="G104" s="160">
        <v>23.8</v>
      </c>
      <c r="H104" s="160">
        <v>25.8</v>
      </c>
      <c r="I104" s="160">
        <v>22</v>
      </c>
      <c r="J104" s="160">
        <v>13</v>
      </c>
      <c r="K104" s="160">
        <v>10.1</v>
      </c>
      <c r="L104" s="160">
        <v>6.8</v>
      </c>
      <c r="M104" s="161">
        <v>5.7</v>
      </c>
      <c r="N104" s="149">
        <f t="shared" si="2"/>
        <v>157.79999999999998</v>
      </c>
      <c r="O104" s="134"/>
      <c r="P104" s="134"/>
      <c r="Q104" s="134"/>
    </row>
    <row r="105" spans="1:17" x14ac:dyDescent="0.25">
      <c r="A105" s="145" t="s">
        <v>449</v>
      </c>
      <c r="B105" s="159">
        <v>9.5</v>
      </c>
      <c r="C105" s="160">
        <v>10.4</v>
      </c>
      <c r="D105" s="160">
        <v>13.2</v>
      </c>
      <c r="E105" s="160">
        <v>13.1</v>
      </c>
      <c r="F105" s="160">
        <v>13.5</v>
      </c>
      <c r="G105" s="160">
        <v>15.4</v>
      </c>
      <c r="H105" s="160">
        <v>16.399999999999999</v>
      </c>
      <c r="I105" s="160">
        <v>17</v>
      </c>
      <c r="J105" s="160">
        <v>12.7</v>
      </c>
      <c r="K105" s="160">
        <v>9.4</v>
      </c>
      <c r="L105" s="160">
        <v>6.4</v>
      </c>
      <c r="M105" s="161">
        <v>5.6</v>
      </c>
      <c r="N105" s="149">
        <f t="shared" si="2"/>
        <v>142.6</v>
      </c>
      <c r="O105" s="134"/>
      <c r="P105" s="134"/>
      <c r="Q105" s="134"/>
    </row>
    <row r="106" spans="1:17" x14ac:dyDescent="0.25">
      <c r="A106" s="145" t="s">
        <v>450</v>
      </c>
      <c r="B106" s="159">
        <v>7.8</v>
      </c>
      <c r="C106" s="160">
        <v>8.8000000000000007</v>
      </c>
      <c r="D106" s="160">
        <v>11.5</v>
      </c>
      <c r="E106" s="160">
        <v>15.8</v>
      </c>
      <c r="F106" s="160">
        <v>16.8</v>
      </c>
      <c r="G106" s="160">
        <v>18.7</v>
      </c>
      <c r="H106" s="160">
        <v>20.9</v>
      </c>
      <c r="I106" s="160">
        <v>21.1</v>
      </c>
      <c r="J106" s="160">
        <v>15.8</v>
      </c>
      <c r="K106" s="160">
        <v>14.8</v>
      </c>
      <c r="L106" s="160">
        <v>10.199999999999999</v>
      </c>
      <c r="M106" s="161">
        <v>7.7</v>
      </c>
      <c r="N106" s="149">
        <f t="shared" si="2"/>
        <v>169.9</v>
      </c>
      <c r="O106" s="134"/>
      <c r="P106" s="134"/>
      <c r="Q106" s="134"/>
    </row>
    <row r="107" spans="1:17" x14ac:dyDescent="0.25">
      <c r="A107" s="145" t="s">
        <v>451</v>
      </c>
      <c r="B107" s="159">
        <v>2.4</v>
      </c>
      <c r="C107" s="160">
        <v>1</v>
      </c>
      <c r="D107" s="160">
        <v>2.2000000000000002</v>
      </c>
      <c r="E107" s="160">
        <v>6.8</v>
      </c>
      <c r="F107" s="160">
        <v>16.3</v>
      </c>
      <c r="G107" s="160">
        <v>16.899999999999999</v>
      </c>
      <c r="H107" s="160">
        <v>19.7</v>
      </c>
      <c r="I107" s="160">
        <v>18.100000000000001</v>
      </c>
      <c r="J107" s="160">
        <v>20.399999999999999</v>
      </c>
      <c r="K107" s="160">
        <v>21.1</v>
      </c>
      <c r="L107" s="160">
        <v>12.8</v>
      </c>
      <c r="M107" s="161">
        <v>5</v>
      </c>
      <c r="N107" s="149">
        <f t="shared" si="2"/>
        <v>142.70000000000002</v>
      </c>
      <c r="O107" s="134"/>
      <c r="P107" s="134"/>
      <c r="Q107" s="134"/>
    </row>
    <row r="108" spans="1:17" x14ac:dyDescent="0.25">
      <c r="A108" s="145" t="s">
        <v>452</v>
      </c>
      <c r="B108" s="159">
        <v>1</v>
      </c>
      <c r="C108" s="160">
        <v>0.5</v>
      </c>
      <c r="D108" s="160">
        <v>1</v>
      </c>
      <c r="E108" s="160">
        <v>4.5999999999999996</v>
      </c>
      <c r="F108" s="160">
        <v>14.3</v>
      </c>
      <c r="G108" s="160">
        <v>17.8</v>
      </c>
      <c r="H108" s="160">
        <v>19.5</v>
      </c>
      <c r="I108" s="160">
        <v>19.399999999999999</v>
      </c>
      <c r="J108" s="160">
        <v>20.3</v>
      </c>
      <c r="K108" s="160">
        <v>19.2</v>
      </c>
      <c r="L108" s="160">
        <v>11.3</v>
      </c>
      <c r="M108" s="161">
        <v>5.2</v>
      </c>
      <c r="N108" s="149">
        <f t="shared" si="2"/>
        <v>134.1</v>
      </c>
      <c r="O108" s="134"/>
      <c r="P108" s="134"/>
      <c r="Q108" s="134"/>
    </row>
    <row r="109" spans="1:17" x14ac:dyDescent="0.25">
      <c r="A109" s="145" t="s">
        <v>453</v>
      </c>
      <c r="B109" s="159">
        <v>9.3000000000000007</v>
      </c>
      <c r="C109" s="160">
        <v>13.1</v>
      </c>
      <c r="D109" s="160">
        <v>16.3</v>
      </c>
      <c r="E109" s="160">
        <v>13.4</v>
      </c>
      <c r="F109" s="160">
        <v>12.1</v>
      </c>
      <c r="G109" s="160">
        <v>12.9</v>
      </c>
      <c r="H109" s="160">
        <v>12.4</v>
      </c>
      <c r="I109" s="160">
        <v>15.4</v>
      </c>
      <c r="J109" s="160">
        <v>14.5</v>
      </c>
      <c r="K109" s="160">
        <v>11.9</v>
      </c>
      <c r="L109" s="160">
        <v>7.1</v>
      </c>
      <c r="M109" s="161">
        <v>5.6</v>
      </c>
      <c r="N109" s="149">
        <f t="shared" si="2"/>
        <v>144</v>
      </c>
      <c r="O109" s="134"/>
      <c r="P109" s="134"/>
      <c r="Q109" s="134"/>
    </row>
    <row r="110" spans="1:17" x14ac:dyDescent="0.25">
      <c r="A110" s="145" t="s">
        <v>454</v>
      </c>
      <c r="B110" s="159">
        <v>7.8</v>
      </c>
      <c r="C110" s="160">
        <v>4</v>
      </c>
      <c r="D110" s="160">
        <v>3.3</v>
      </c>
      <c r="E110" s="160">
        <v>4.3</v>
      </c>
      <c r="F110" s="160">
        <v>8.5</v>
      </c>
      <c r="G110" s="160">
        <v>9.1999999999999993</v>
      </c>
      <c r="H110" s="160">
        <v>8.4</v>
      </c>
      <c r="I110" s="160">
        <v>9.6</v>
      </c>
      <c r="J110" s="160">
        <v>15.2</v>
      </c>
      <c r="K110" s="160">
        <v>17.7</v>
      </c>
      <c r="L110" s="160">
        <v>17.600000000000001</v>
      </c>
      <c r="M110" s="161">
        <v>14</v>
      </c>
      <c r="N110" s="149">
        <f t="shared" si="2"/>
        <v>119.6</v>
      </c>
      <c r="O110" s="134"/>
      <c r="P110" s="134"/>
      <c r="Q110" s="134"/>
    </row>
    <row r="111" spans="1:17" x14ac:dyDescent="0.25">
      <c r="A111" s="145" t="s">
        <v>455</v>
      </c>
      <c r="B111" s="159">
        <v>9.1</v>
      </c>
      <c r="C111" s="160">
        <v>13.2</v>
      </c>
      <c r="D111" s="160">
        <v>16.100000000000001</v>
      </c>
      <c r="E111" s="160">
        <v>12.9</v>
      </c>
      <c r="F111" s="160">
        <v>12.6</v>
      </c>
      <c r="G111" s="160">
        <v>13.8</v>
      </c>
      <c r="H111" s="160">
        <v>12.9</v>
      </c>
      <c r="I111" s="160">
        <v>15.6</v>
      </c>
      <c r="J111" s="160">
        <v>15.1</v>
      </c>
      <c r="K111" s="160">
        <v>12.1</v>
      </c>
      <c r="L111" s="160">
        <v>7.9</v>
      </c>
      <c r="M111" s="161">
        <v>6.1</v>
      </c>
      <c r="N111" s="149">
        <f t="shared" si="2"/>
        <v>147.4</v>
      </c>
      <c r="O111" s="134"/>
      <c r="P111" s="134"/>
      <c r="Q111" s="134"/>
    </row>
    <row r="112" spans="1:17" x14ac:dyDescent="0.25">
      <c r="A112" s="145" t="s">
        <v>456</v>
      </c>
      <c r="B112" s="159">
        <v>0.4</v>
      </c>
      <c r="C112" s="160">
        <v>0.4</v>
      </c>
      <c r="D112" s="160">
        <v>0.7</v>
      </c>
      <c r="E112" s="160">
        <v>3.5</v>
      </c>
      <c r="F112" s="160">
        <v>12.7</v>
      </c>
      <c r="G112" s="160">
        <v>16.399999999999999</v>
      </c>
      <c r="H112" s="160">
        <v>16.3</v>
      </c>
      <c r="I112" s="160">
        <v>18.399999999999999</v>
      </c>
      <c r="J112" s="160">
        <v>17.2</v>
      </c>
      <c r="K112" s="160">
        <v>13.5</v>
      </c>
      <c r="L112" s="160">
        <v>7</v>
      </c>
      <c r="M112" s="161">
        <v>3.1</v>
      </c>
      <c r="N112" s="149">
        <f t="shared" si="2"/>
        <v>109.59999999999998</v>
      </c>
      <c r="O112" s="134"/>
      <c r="P112" s="134"/>
      <c r="Q112" s="134"/>
    </row>
    <row r="113" spans="1:17" x14ac:dyDescent="0.25">
      <c r="A113" s="145" t="s">
        <v>457</v>
      </c>
      <c r="B113" s="159">
        <v>8.3000000000000007</v>
      </c>
      <c r="C113" s="160">
        <v>13.4</v>
      </c>
      <c r="D113" s="160">
        <v>17.100000000000001</v>
      </c>
      <c r="E113" s="160">
        <v>13.9</v>
      </c>
      <c r="F113" s="160">
        <v>12.3</v>
      </c>
      <c r="G113" s="160">
        <v>14.6</v>
      </c>
      <c r="H113" s="160">
        <v>13.5</v>
      </c>
      <c r="I113" s="160">
        <v>17.399999999999999</v>
      </c>
      <c r="J113" s="160">
        <v>13.8</v>
      </c>
      <c r="K113" s="160">
        <v>10.6</v>
      </c>
      <c r="L113" s="160">
        <v>6.3</v>
      </c>
      <c r="M113" s="161">
        <v>5.2</v>
      </c>
      <c r="N113" s="149">
        <f t="shared" si="2"/>
        <v>146.4</v>
      </c>
      <c r="O113" s="134"/>
      <c r="P113" s="134"/>
      <c r="Q113" s="134"/>
    </row>
    <row r="114" spans="1:17" x14ac:dyDescent="0.25">
      <c r="A114" s="145" t="s">
        <v>458</v>
      </c>
      <c r="B114" s="159">
        <v>5.3</v>
      </c>
      <c r="C114" s="160">
        <v>3.9</v>
      </c>
      <c r="D114" s="160">
        <v>5.7</v>
      </c>
      <c r="E114" s="160">
        <v>11.5</v>
      </c>
      <c r="F114" s="160">
        <v>19.5</v>
      </c>
      <c r="G114" s="160">
        <v>21.8</v>
      </c>
      <c r="H114" s="160">
        <v>22.5</v>
      </c>
      <c r="I114" s="160">
        <v>24.4</v>
      </c>
      <c r="J114" s="160">
        <v>22.5</v>
      </c>
      <c r="K114" s="160">
        <v>21.6</v>
      </c>
      <c r="L114" s="160">
        <v>13.3</v>
      </c>
      <c r="M114" s="161">
        <v>6.2</v>
      </c>
      <c r="N114" s="149">
        <f t="shared" si="2"/>
        <v>178.2</v>
      </c>
      <c r="O114" s="134"/>
      <c r="P114" s="134"/>
      <c r="Q114" s="134"/>
    </row>
    <row r="115" spans="1:17" x14ac:dyDescent="0.25">
      <c r="A115" s="145" t="s">
        <v>459</v>
      </c>
      <c r="B115" s="159">
        <v>2</v>
      </c>
      <c r="C115" s="160">
        <v>1.7</v>
      </c>
      <c r="D115" s="160">
        <v>4.7</v>
      </c>
      <c r="E115" s="160">
        <v>10.8</v>
      </c>
      <c r="F115" s="160">
        <v>18.899999999999999</v>
      </c>
      <c r="G115" s="160">
        <v>21.6</v>
      </c>
      <c r="H115" s="160">
        <v>23.8</v>
      </c>
      <c r="I115" s="160">
        <v>24.5</v>
      </c>
      <c r="J115" s="160">
        <v>24.2</v>
      </c>
      <c r="K115" s="160">
        <v>20.9</v>
      </c>
      <c r="L115" s="160">
        <v>10.4</v>
      </c>
      <c r="M115" s="161">
        <v>3.9</v>
      </c>
      <c r="N115" s="149">
        <f t="shared" si="2"/>
        <v>167.4</v>
      </c>
      <c r="O115" s="134"/>
      <c r="P115" s="134"/>
      <c r="Q115" s="134"/>
    </row>
    <row r="116" spans="1:17" x14ac:dyDescent="0.25">
      <c r="A116" s="145" t="s">
        <v>460</v>
      </c>
      <c r="B116" s="159">
        <v>0.6</v>
      </c>
      <c r="C116" s="160">
        <v>0.9</v>
      </c>
      <c r="D116" s="160">
        <v>3.4</v>
      </c>
      <c r="E116" s="160">
        <v>8.1999999999999993</v>
      </c>
      <c r="F116" s="160">
        <v>18.5</v>
      </c>
      <c r="G116" s="160">
        <v>23.1</v>
      </c>
      <c r="H116" s="160">
        <v>26</v>
      </c>
      <c r="I116" s="160">
        <v>27.4</v>
      </c>
      <c r="J116" s="160">
        <v>25.3</v>
      </c>
      <c r="K116" s="160">
        <v>16.3</v>
      </c>
      <c r="L116" s="160">
        <v>7.4</v>
      </c>
      <c r="M116" s="161">
        <v>2.2999999999999998</v>
      </c>
      <c r="N116" s="149">
        <f t="shared" si="2"/>
        <v>159.40000000000003</v>
      </c>
      <c r="O116" s="134"/>
      <c r="P116" s="134"/>
      <c r="Q116" s="134"/>
    </row>
    <row r="117" spans="1:17" x14ac:dyDescent="0.25">
      <c r="A117" s="145" t="s">
        <v>461</v>
      </c>
      <c r="B117" s="159">
        <v>14.8</v>
      </c>
      <c r="C117" s="160">
        <v>8.4</v>
      </c>
      <c r="D117" s="160">
        <v>5.5</v>
      </c>
      <c r="E117" s="160">
        <v>5.8</v>
      </c>
      <c r="F117" s="160">
        <v>9.6999999999999993</v>
      </c>
      <c r="G117" s="160">
        <v>8.9</v>
      </c>
      <c r="H117" s="160">
        <v>9.9</v>
      </c>
      <c r="I117" s="160">
        <v>12.2</v>
      </c>
      <c r="J117" s="160">
        <v>16.399999999999999</v>
      </c>
      <c r="K117" s="160">
        <v>20.7</v>
      </c>
      <c r="L117" s="160">
        <v>22.2</v>
      </c>
      <c r="M117" s="161">
        <v>21.5</v>
      </c>
      <c r="N117" s="149">
        <f t="shared" si="2"/>
        <v>156</v>
      </c>
      <c r="O117" s="134"/>
      <c r="P117" s="134"/>
      <c r="Q117" s="134"/>
    </row>
    <row r="118" spans="1:17" x14ac:dyDescent="0.25">
      <c r="A118" s="145" t="s">
        <v>462</v>
      </c>
      <c r="B118" s="159">
        <v>13</v>
      </c>
      <c r="C118" s="160">
        <v>6</v>
      </c>
      <c r="D118" s="160">
        <v>4.3</v>
      </c>
      <c r="E118" s="160">
        <v>4.0999999999999996</v>
      </c>
      <c r="F118" s="160">
        <v>8.6999999999999993</v>
      </c>
      <c r="G118" s="160">
        <v>7.5</v>
      </c>
      <c r="H118" s="160">
        <v>7.2</v>
      </c>
      <c r="I118" s="160">
        <v>8.6</v>
      </c>
      <c r="J118" s="160">
        <v>16</v>
      </c>
      <c r="K118" s="160">
        <v>20.7</v>
      </c>
      <c r="L118" s="160">
        <v>21.2</v>
      </c>
      <c r="M118" s="161">
        <v>19.100000000000001</v>
      </c>
      <c r="N118" s="149">
        <f t="shared" si="2"/>
        <v>136.4</v>
      </c>
      <c r="O118" s="134"/>
      <c r="P118" s="134"/>
      <c r="Q118" s="134"/>
    </row>
    <row r="119" spans="1:17" x14ac:dyDescent="0.25">
      <c r="A119" s="145" t="s">
        <v>463</v>
      </c>
      <c r="B119" s="159">
        <v>1.6</v>
      </c>
      <c r="C119" s="160">
        <v>1.3</v>
      </c>
      <c r="D119" s="160">
        <v>2.4</v>
      </c>
      <c r="E119" s="160">
        <v>7.9</v>
      </c>
      <c r="F119" s="160">
        <v>16.5</v>
      </c>
      <c r="G119" s="160">
        <v>20</v>
      </c>
      <c r="H119" s="160">
        <v>20.3</v>
      </c>
      <c r="I119" s="160">
        <v>22.1</v>
      </c>
      <c r="J119" s="160">
        <v>19.8</v>
      </c>
      <c r="K119" s="160">
        <v>21.1</v>
      </c>
      <c r="L119" s="160">
        <v>15.6</v>
      </c>
      <c r="M119" s="161">
        <v>5.8</v>
      </c>
      <c r="N119" s="149">
        <f t="shared" si="2"/>
        <v>154.4</v>
      </c>
      <c r="O119" s="134"/>
      <c r="P119" s="134"/>
      <c r="Q119" s="134"/>
    </row>
    <row r="120" spans="1:17" x14ac:dyDescent="0.25">
      <c r="A120" s="145" t="s">
        <v>464</v>
      </c>
      <c r="B120" s="159">
        <v>15.4</v>
      </c>
      <c r="C120" s="160">
        <v>16.2</v>
      </c>
      <c r="D120" s="160">
        <v>15.5</v>
      </c>
      <c r="E120" s="160">
        <v>18</v>
      </c>
      <c r="F120" s="160">
        <v>22.5</v>
      </c>
      <c r="G120" s="160">
        <v>24.3</v>
      </c>
      <c r="H120" s="160">
        <v>25.7</v>
      </c>
      <c r="I120" s="160">
        <v>23.5</v>
      </c>
      <c r="J120" s="160">
        <v>20</v>
      </c>
      <c r="K120" s="160">
        <v>18.3</v>
      </c>
      <c r="L120" s="160">
        <v>13.8</v>
      </c>
      <c r="M120" s="161">
        <v>12.5</v>
      </c>
      <c r="N120" s="149">
        <f t="shared" si="2"/>
        <v>225.70000000000002</v>
      </c>
      <c r="O120" s="134"/>
      <c r="P120" s="134"/>
      <c r="Q120" s="134"/>
    </row>
    <row r="121" spans="1:17" x14ac:dyDescent="0.25">
      <c r="A121" s="145" t="s">
        <v>465</v>
      </c>
      <c r="B121" s="159">
        <v>1.4</v>
      </c>
      <c r="C121" s="160">
        <v>0.8</v>
      </c>
      <c r="D121" s="160">
        <v>1.6</v>
      </c>
      <c r="E121" s="160">
        <v>6.5</v>
      </c>
      <c r="F121" s="160">
        <v>18.399999999999999</v>
      </c>
      <c r="G121" s="160">
        <v>22.8</v>
      </c>
      <c r="H121" s="160">
        <v>23.2</v>
      </c>
      <c r="I121" s="160">
        <v>23.7</v>
      </c>
      <c r="J121" s="160">
        <v>24.3</v>
      </c>
      <c r="K121" s="160">
        <v>22.3</v>
      </c>
      <c r="L121" s="160">
        <v>11.4</v>
      </c>
      <c r="M121" s="161">
        <v>5.7</v>
      </c>
      <c r="N121" s="149">
        <f t="shared" si="2"/>
        <v>162.1</v>
      </c>
      <c r="O121" s="134"/>
      <c r="P121" s="134"/>
      <c r="Q121" s="134"/>
    </row>
    <row r="122" spans="1:17" x14ac:dyDescent="0.25">
      <c r="A122" s="145" t="s">
        <v>466</v>
      </c>
      <c r="B122" s="159">
        <v>4.8</v>
      </c>
      <c r="C122" s="160">
        <v>4.9000000000000004</v>
      </c>
      <c r="D122" s="160">
        <v>6.1</v>
      </c>
      <c r="E122" s="160">
        <v>12.6</v>
      </c>
      <c r="F122" s="160">
        <v>17.100000000000001</v>
      </c>
      <c r="G122" s="160">
        <v>19.5</v>
      </c>
      <c r="H122" s="160">
        <v>21.5</v>
      </c>
      <c r="I122" s="160">
        <v>20</v>
      </c>
      <c r="J122" s="160">
        <v>13.6</v>
      </c>
      <c r="K122" s="160">
        <v>8.6</v>
      </c>
      <c r="L122" s="160">
        <v>4.5999999999999996</v>
      </c>
      <c r="M122" s="161">
        <v>3.5</v>
      </c>
      <c r="N122" s="149">
        <f t="shared" si="2"/>
        <v>136.79999999999998</v>
      </c>
      <c r="O122" s="134"/>
      <c r="P122" s="134"/>
      <c r="Q122" s="134"/>
    </row>
    <row r="123" spans="1:17" x14ac:dyDescent="0.25">
      <c r="A123" s="145" t="s">
        <v>467</v>
      </c>
      <c r="B123" s="159">
        <v>9.8000000000000007</v>
      </c>
      <c r="C123" s="160">
        <v>11.9</v>
      </c>
      <c r="D123" s="160">
        <v>14.5</v>
      </c>
      <c r="E123" s="160">
        <v>13.9</v>
      </c>
      <c r="F123" s="160">
        <v>15.5</v>
      </c>
      <c r="G123" s="160">
        <v>15.6</v>
      </c>
      <c r="H123" s="160">
        <v>16.7</v>
      </c>
      <c r="I123" s="160">
        <v>16.600000000000001</v>
      </c>
      <c r="J123" s="160">
        <v>13.1</v>
      </c>
      <c r="K123" s="160">
        <v>10.1</v>
      </c>
      <c r="L123" s="160">
        <v>7.2</v>
      </c>
      <c r="M123" s="161">
        <v>5.7</v>
      </c>
      <c r="N123" s="149">
        <f t="shared" si="2"/>
        <v>150.59999999999997</v>
      </c>
      <c r="O123" s="134"/>
      <c r="P123" s="134"/>
      <c r="Q123" s="134"/>
    </row>
    <row r="124" spans="1:17" x14ac:dyDescent="0.25">
      <c r="A124" s="145" t="s">
        <v>468</v>
      </c>
      <c r="B124" s="159">
        <v>16.8</v>
      </c>
      <c r="C124" s="160">
        <v>18</v>
      </c>
      <c r="D124" s="160">
        <v>21</v>
      </c>
      <c r="E124" s="160">
        <v>19.7</v>
      </c>
      <c r="F124" s="160">
        <v>17.8</v>
      </c>
      <c r="G124" s="160">
        <v>18.399999999999999</v>
      </c>
      <c r="H124" s="160">
        <v>20</v>
      </c>
      <c r="I124" s="160">
        <v>20.3</v>
      </c>
      <c r="J124" s="160">
        <v>16.3</v>
      </c>
      <c r="K124" s="160">
        <v>13.6</v>
      </c>
      <c r="L124" s="160">
        <v>10.6</v>
      </c>
      <c r="M124" s="161">
        <v>10.6</v>
      </c>
      <c r="N124" s="149">
        <f t="shared" si="2"/>
        <v>203.1</v>
      </c>
      <c r="O124" s="134"/>
      <c r="P124" s="134"/>
      <c r="Q124" s="134"/>
    </row>
    <row r="125" spans="1:17" x14ac:dyDescent="0.25">
      <c r="A125" s="145" t="s">
        <v>403</v>
      </c>
      <c r="B125" s="159">
        <v>2.4</v>
      </c>
      <c r="C125" s="160">
        <v>1</v>
      </c>
      <c r="D125" s="160">
        <v>1.9</v>
      </c>
      <c r="E125" s="160">
        <v>5.4</v>
      </c>
      <c r="F125" s="160">
        <v>17.8</v>
      </c>
      <c r="G125" s="160">
        <v>22.2</v>
      </c>
      <c r="H125" s="160">
        <v>22.9</v>
      </c>
      <c r="I125" s="160">
        <v>22.4</v>
      </c>
      <c r="J125" s="160">
        <v>23.4</v>
      </c>
      <c r="K125" s="160">
        <v>20.9</v>
      </c>
      <c r="L125" s="160">
        <v>12.1</v>
      </c>
      <c r="M125" s="161">
        <v>6.7</v>
      </c>
      <c r="N125" s="149">
        <f t="shared" si="2"/>
        <v>159.1</v>
      </c>
      <c r="O125" s="134"/>
      <c r="P125" s="134"/>
      <c r="Q125" s="134"/>
    </row>
    <row r="126" spans="1:17" x14ac:dyDescent="0.25">
      <c r="A126" s="145" t="s">
        <v>469</v>
      </c>
      <c r="B126" s="159">
        <v>1.7</v>
      </c>
      <c r="C126" s="160">
        <v>1.6</v>
      </c>
      <c r="D126" s="160">
        <v>2.8</v>
      </c>
      <c r="E126" s="160">
        <v>7.4</v>
      </c>
      <c r="F126" s="160">
        <v>16</v>
      </c>
      <c r="G126" s="160">
        <v>20.5</v>
      </c>
      <c r="H126" s="160">
        <v>21.8</v>
      </c>
      <c r="I126" s="160">
        <v>21.6</v>
      </c>
      <c r="J126" s="160">
        <v>23.6</v>
      </c>
      <c r="K126" s="160">
        <v>21.9</v>
      </c>
      <c r="L126" s="160">
        <v>11.6</v>
      </c>
      <c r="M126" s="161">
        <v>3.8</v>
      </c>
      <c r="N126" s="149">
        <f t="shared" si="2"/>
        <v>154.30000000000001</v>
      </c>
      <c r="O126" s="134"/>
      <c r="P126" s="134"/>
      <c r="Q126" s="134"/>
    </row>
    <row r="127" spans="1:17" x14ac:dyDescent="0.25">
      <c r="A127" s="145" t="s">
        <v>470</v>
      </c>
      <c r="B127" s="159">
        <v>9.4</v>
      </c>
      <c r="C127" s="160">
        <v>13.4</v>
      </c>
      <c r="D127" s="160">
        <v>17</v>
      </c>
      <c r="E127" s="160">
        <v>13.4</v>
      </c>
      <c r="F127" s="160">
        <v>12.5</v>
      </c>
      <c r="G127" s="160">
        <v>13</v>
      </c>
      <c r="H127" s="160">
        <v>12.1</v>
      </c>
      <c r="I127" s="160">
        <v>15.5</v>
      </c>
      <c r="J127" s="160">
        <v>15.3</v>
      </c>
      <c r="K127" s="160">
        <v>12.4</v>
      </c>
      <c r="L127" s="160">
        <v>7.9</v>
      </c>
      <c r="M127" s="161">
        <v>6.1</v>
      </c>
      <c r="N127" s="149">
        <f t="shared" si="2"/>
        <v>147.99999999999997</v>
      </c>
      <c r="O127" s="134"/>
      <c r="P127" s="134"/>
      <c r="Q127" s="134"/>
    </row>
    <row r="128" spans="1:17" x14ac:dyDescent="0.25">
      <c r="A128" s="145" t="s">
        <v>471</v>
      </c>
      <c r="B128" s="159">
        <v>10.4</v>
      </c>
      <c r="C128" s="160">
        <v>12.4</v>
      </c>
      <c r="D128" s="160">
        <v>17.8</v>
      </c>
      <c r="E128" s="160">
        <v>17.5</v>
      </c>
      <c r="F128" s="160">
        <v>15.3</v>
      </c>
      <c r="G128" s="160">
        <v>17</v>
      </c>
      <c r="H128" s="160">
        <v>17.7</v>
      </c>
      <c r="I128" s="160">
        <v>18.100000000000001</v>
      </c>
      <c r="J128" s="160">
        <v>13.5</v>
      </c>
      <c r="K128" s="160">
        <v>10.7</v>
      </c>
      <c r="L128" s="160">
        <v>7.3</v>
      </c>
      <c r="M128" s="161">
        <v>5.7</v>
      </c>
      <c r="N128" s="149">
        <f t="shared" si="2"/>
        <v>163.4</v>
      </c>
      <c r="O128" s="134"/>
      <c r="P128" s="134"/>
      <c r="Q128" s="134"/>
    </row>
    <row r="129" spans="1:17" x14ac:dyDescent="0.25">
      <c r="A129" s="145" t="s">
        <v>472</v>
      </c>
      <c r="B129" s="159">
        <v>9.8000000000000007</v>
      </c>
      <c r="C129" s="160">
        <v>12</v>
      </c>
      <c r="D129" s="160">
        <v>14.4</v>
      </c>
      <c r="E129" s="160">
        <v>11.5</v>
      </c>
      <c r="F129" s="160">
        <v>12.2</v>
      </c>
      <c r="G129" s="160">
        <v>12.4</v>
      </c>
      <c r="H129" s="160">
        <v>11</v>
      </c>
      <c r="I129" s="160">
        <v>15.1</v>
      </c>
      <c r="J129" s="160">
        <v>15.2</v>
      </c>
      <c r="K129" s="160">
        <v>12.6</v>
      </c>
      <c r="L129" s="160">
        <v>8</v>
      </c>
      <c r="M129" s="161">
        <v>5.6</v>
      </c>
      <c r="N129" s="149">
        <f t="shared" si="2"/>
        <v>139.79999999999998</v>
      </c>
      <c r="O129" s="134"/>
      <c r="P129" s="134"/>
      <c r="Q129" s="134"/>
    </row>
    <row r="130" spans="1:17" x14ac:dyDescent="0.25">
      <c r="A130" s="145" t="s">
        <v>473</v>
      </c>
      <c r="B130" s="159">
        <v>15.9</v>
      </c>
      <c r="C130" s="160">
        <v>9.9</v>
      </c>
      <c r="D130" s="160">
        <v>6.3</v>
      </c>
      <c r="E130" s="160">
        <v>7.3</v>
      </c>
      <c r="F130" s="160">
        <v>12.5</v>
      </c>
      <c r="G130" s="160">
        <v>17.3</v>
      </c>
      <c r="H130" s="160">
        <v>18.5</v>
      </c>
      <c r="I130" s="160">
        <v>19.399999999999999</v>
      </c>
      <c r="J130" s="160">
        <v>17.7</v>
      </c>
      <c r="K130" s="160">
        <v>20.5</v>
      </c>
      <c r="L130" s="160">
        <v>23.2</v>
      </c>
      <c r="M130" s="161">
        <v>22.7</v>
      </c>
      <c r="N130" s="149">
        <f t="shared" si="2"/>
        <v>191.2</v>
      </c>
      <c r="O130" s="134"/>
      <c r="P130" s="134"/>
      <c r="Q130" s="134"/>
    </row>
    <row r="131" spans="1:17" x14ac:dyDescent="0.25">
      <c r="A131" s="145" t="s">
        <v>474</v>
      </c>
      <c r="B131" s="159">
        <v>11.5</v>
      </c>
      <c r="C131" s="160">
        <v>5.3</v>
      </c>
      <c r="D131" s="160">
        <v>3.8</v>
      </c>
      <c r="E131" s="160">
        <v>4.0999999999999996</v>
      </c>
      <c r="F131" s="160">
        <v>8.5</v>
      </c>
      <c r="G131" s="160">
        <v>7.6</v>
      </c>
      <c r="H131" s="160">
        <v>6.6</v>
      </c>
      <c r="I131" s="160">
        <v>9</v>
      </c>
      <c r="J131" s="160">
        <v>16</v>
      </c>
      <c r="K131" s="160">
        <v>20.2</v>
      </c>
      <c r="L131" s="160">
        <v>20.399999999999999</v>
      </c>
      <c r="M131" s="161">
        <v>17.5</v>
      </c>
      <c r="N131" s="149">
        <f t="shared" si="2"/>
        <v>130.5</v>
      </c>
      <c r="O131" s="134"/>
      <c r="P131" s="134"/>
      <c r="Q131" s="134"/>
    </row>
    <row r="132" spans="1:17" x14ac:dyDescent="0.25">
      <c r="A132" s="145" t="s">
        <v>475</v>
      </c>
      <c r="B132" s="159">
        <v>10.6</v>
      </c>
      <c r="C132" s="160">
        <v>11.6</v>
      </c>
      <c r="D132" s="160">
        <v>15.1</v>
      </c>
      <c r="E132" s="160">
        <v>15</v>
      </c>
      <c r="F132" s="160">
        <v>14.7</v>
      </c>
      <c r="G132" s="160">
        <v>16.3</v>
      </c>
      <c r="H132" s="160">
        <v>17.5</v>
      </c>
      <c r="I132" s="160">
        <v>18.100000000000001</v>
      </c>
      <c r="J132" s="160">
        <v>13</v>
      </c>
      <c r="K132" s="160">
        <v>11.2</v>
      </c>
      <c r="L132" s="160">
        <v>7.4</v>
      </c>
      <c r="M132" s="161">
        <v>6.6</v>
      </c>
      <c r="N132" s="149">
        <f t="shared" si="2"/>
        <v>157.1</v>
      </c>
      <c r="O132" s="134"/>
      <c r="P132" s="134"/>
      <c r="Q132" s="134"/>
    </row>
    <row r="133" spans="1:17" x14ac:dyDescent="0.25">
      <c r="A133" s="145" t="s">
        <v>476</v>
      </c>
      <c r="B133" s="159">
        <v>7.1</v>
      </c>
      <c r="C133" s="160">
        <v>9.9</v>
      </c>
      <c r="D133" s="160">
        <v>13.4</v>
      </c>
      <c r="E133" s="160">
        <v>12.2</v>
      </c>
      <c r="F133" s="160">
        <v>13.1</v>
      </c>
      <c r="G133" s="160">
        <v>15.6</v>
      </c>
      <c r="H133" s="160">
        <v>16.100000000000001</v>
      </c>
      <c r="I133" s="160">
        <v>18.7</v>
      </c>
      <c r="J133" s="160">
        <v>14.2</v>
      </c>
      <c r="K133" s="160">
        <v>9.6</v>
      </c>
      <c r="L133" s="160">
        <v>5.0999999999999996</v>
      </c>
      <c r="M133" s="161">
        <v>4.2</v>
      </c>
      <c r="N133" s="149">
        <f t="shared" si="2"/>
        <v>139.19999999999999</v>
      </c>
      <c r="O133" s="134"/>
      <c r="P133" s="134"/>
      <c r="Q133" s="134"/>
    </row>
    <row r="134" spans="1:17" x14ac:dyDescent="0.25">
      <c r="A134" s="145" t="s">
        <v>477</v>
      </c>
      <c r="B134" s="159">
        <v>11.5</v>
      </c>
      <c r="C134" s="160">
        <v>13.4</v>
      </c>
      <c r="D134" s="160">
        <v>15.9</v>
      </c>
      <c r="E134" s="160">
        <v>14.5</v>
      </c>
      <c r="F134" s="160">
        <v>15</v>
      </c>
      <c r="G134" s="160">
        <v>15.3</v>
      </c>
      <c r="H134" s="160">
        <v>16.5</v>
      </c>
      <c r="I134" s="160">
        <v>16.5</v>
      </c>
      <c r="J134" s="160">
        <v>12.5</v>
      </c>
      <c r="K134" s="160">
        <v>9.8000000000000007</v>
      </c>
      <c r="L134" s="160">
        <v>8.5</v>
      </c>
      <c r="M134" s="161">
        <v>6.2</v>
      </c>
      <c r="N134" s="149">
        <f t="shared" si="2"/>
        <v>155.6</v>
      </c>
      <c r="O134" s="134"/>
      <c r="P134" s="134"/>
      <c r="Q134" s="134"/>
    </row>
    <row r="135" spans="1:17" x14ac:dyDescent="0.25">
      <c r="A135" s="145" t="s">
        <v>478</v>
      </c>
      <c r="B135" s="159">
        <v>13.1</v>
      </c>
      <c r="C135" s="160">
        <v>14.4</v>
      </c>
      <c r="D135" s="160">
        <v>14.2</v>
      </c>
      <c r="E135" s="160">
        <v>11.1</v>
      </c>
      <c r="F135" s="160">
        <v>10.9</v>
      </c>
      <c r="G135" s="160">
        <v>8.8000000000000007</v>
      </c>
      <c r="H135" s="160">
        <v>7.4</v>
      </c>
      <c r="I135" s="160">
        <v>11.8</v>
      </c>
      <c r="J135" s="160">
        <v>14.9</v>
      </c>
      <c r="K135" s="160">
        <v>16.399999999999999</v>
      </c>
      <c r="L135" s="160">
        <v>13.5</v>
      </c>
      <c r="M135" s="161">
        <v>10.6</v>
      </c>
      <c r="N135" s="149">
        <f t="shared" si="2"/>
        <v>147.1</v>
      </c>
      <c r="O135" s="134"/>
      <c r="P135" s="134"/>
      <c r="Q135" s="134"/>
    </row>
    <row r="136" spans="1:17" x14ac:dyDescent="0.25">
      <c r="A136" s="145" t="s">
        <v>479</v>
      </c>
      <c r="B136" s="159">
        <v>10.5</v>
      </c>
      <c r="C136" s="160">
        <v>11.5</v>
      </c>
      <c r="D136" s="160">
        <v>15.1</v>
      </c>
      <c r="E136" s="160">
        <v>14.2</v>
      </c>
      <c r="F136" s="160">
        <v>14.6</v>
      </c>
      <c r="G136" s="160">
        <v>15.3</v>
      </c>
      <c r="H136" s="160">
        <v>16.899999999999999</v>
      </c>
      <c r="I136" s="160">
        <v>17.100000000000001</v>
      </c>
      <c r="J136" s="160">
        <v>13</v>
      </c>
      <c r="K136" s="160">
        <v>10.1</v>
      </c>
      <c r="L136" s="160">
        <v>7.8</v>
      </c>
      <c r="M136" s="161">
        <v>5.3</v>
      </c>
      <c r="N136" s="149">
        <f t="shared" si="2"/>
        <v>151.4</v>
      </c>
      <c r="O136" s="134"/>
      <c r="P136" s="134"/>
      <c r="Q136" s="134"/>
    </row>
    <row r="137" spans="1:17" x14ac:dyDescent="0.25">
      <c r="A137" s="145" t="s">
        <v>480</v>
      </c>
      <c r="B137" s="159">
        <v>0.9</v>
      </c>
      <c r="C137" s="160">
        <v>0.2</v>
      </c>
      <c r="D137" s="160">
        <v>0.8</v>
      </c>
      <c r="E137" s="160">
        <v>3.7</v>
      </c>
      <c r="F137" s="160">
        <v>13.9</v>
      </c>
      <c r="G137" s="160">
        <v>18.600000000000001</v>
      </c>
      <c r="H137" s="160">
        <v>20</v>
      </c>
      <c r="I137" s="160">
        <v>18.5</v>
      </c>
      <c r="J137" s="160">
        <v>18.8</v>
      </c>
      <c r="K137" s="160">
        <v>17</v>
      </c>
      <c r="L137" s="160">
        <v>7.3</v>
      </c>
      <c r="M137" s="161">
        <v>3.1</v>
      </c>
      <c r="N137" s="149">
        <f t="shared" si="2"/>
        <v>122.79999999999998</v>
      </c>
      <c r="O137" s="134"/>
      <c r="P137" s="134"/>
      <c r="Q137" s="134"/>
    </row>
    <row r="138" spans="1:17" ht="15.75" thickBot="1" x14ac:dyDescent="0.3">
      <c r="A138" s="150" t="s">
        <v>481</v>
      </c>
      <c r="B138" s="162">
        <v>14.9</v>
      </c>
      <c r="C138" s="163">
        <v>17.2</v>
      </c>
      <c r="D138" s="163">
        <v>21.2</v>
      </c>
      <c r="E138" s="163">
        <v>21.2</v>
      </c>
      <c r="F138" s="163">
        <v>16.899999999999999</v>
      </c>
      <c r="G138" s="163">
        <v>16.8</v>
      </c>
      <c r="H138" s="163">
        <v>18.8</v>
      </c>
      <c r="I138" s="163">
        <v>18.399999999999999</v>
      </c>
      <c r="J138" s="163">
        <v>14.3</v>
      </c>
      <c r="K138" s="163">
        <v>12.4</v>
      </c>
      <c r="L138" s="163">
        <v>9.4</v>
      </c>
      <c r="M138" s="164">
        <v>9.1</v>
      </c>
      <c r="N138" s="154">
        <f t="shared" si="2"/>
        <v>190.60000000000002</v>
      </c>
      <c r="O138" s="134"/>
      <c r="P138" s="134"/>
      <c r="Q138" s="134"/>
    </row>
    <row r="139" spans="1:17" x14ac:dyDescent="0.25">
      <c r="A139" s="134"/>
      <c r="B139" s="134"/>
      <c r="C139" s="134"/>
      <c r="D139" s="134"/>
      <c r="E139" s="134"/>
      <c r="F139" s="134"/>
      <c r="G139" s="134"/>
      <c r="H139" s="134"/>
      <c r="I139" s="134"/>
      <c r="J139" s="134"/>
      <c r="K139" s="134"/>
      <c r="L139" s="134"/>
      <c r="M139" s="134"/>
      <c r="N139" s="134"/>
      <c r="O139" s="134"/>
      <c r="P139" s="134"/>
      <c r="Q139" s="134"/>
    </row>
    <row r="140" spans="1:17" ht="15.75" thickBot="1" x14ac:dyDescent="0.3">
      <c r="A140" s="134"/>
      <c r="B140" s="134"/>
      <c r="C140" s="134"/>
      <c r="D140" s="134"/>
      <c r="E140" s="134"/>
      <c r="F140" s="134"/>
      <c r="G140" s="134"/>
      <c r="H140" s="134"/>
      <c r="I140" s="134"/>
      <c r="J140" s="134"/>
      <c r="K140" s="134"/>
      <c r="L140" s="134"/>
      <c r="M140" s="134"/>
      <c r="N140" s="134"/>
      <c r="O140" s="134"/>
      <c r="P140" s="134"/>
      <c r="Q140" s="134"/>
    </row>
    <row r="141" spans="1:17" ht="24" customHeight="1" thickBot="1" x14ac:dyDescent="0.3">
      <c r="A141" s="2187" t="s">
        <v>483</v>
      </c>
      <c r="B141" s="2188"/>
      <c r="C141" s="2188"/>
      <c r="D141" s="2188"/>
      <c r="E141" s="2188"/>
      <c r="F141" s="2188"/>
      <c r="G141" s="131"/>
      <c r="H141" s="131"/>
      <c r="I141" s="131"/>
      <c r="J141" s="131"/>
      <c r="K141" s="131"/>
      <c r="L141" s="131"/>
      <c r="M141" s="131"/>
      <c r="N141" s="131"/>
      <c r="O141" s="131"/>
      <c r="P141" s="131"/>
      <c r="Q141" s="155"/>
    </row>
    <row r="142" spans="1:17" x14ac:dyDescent="0.25">
      <c r="A142" s="134"/>
      <c r="B142" s="134"/>
      <c r="C142" s="134"/>
      <c r="D142" s="134"/>
      <c r="E142" s="134"/>
      <c r="F142" s="134"/>
      <c r="G142" s="134"/>
      <c r="H142" s="134"/>
      <c r="I142" s="134"/>
      <c r="J142" s="134"/>
      <c r="K142" s="134"/>
      <c r="L142" s="134"/>
      <c r="M142" s="134"/>
      <c r="N142" s="134"/>
      <c r="O142" s="134"/>
      <c r="P142" s="134"/>
      <c r="Q142" s="134"/>
    </row>
    <row r="143" spans="1:17" x14ac:dyDescent="0.25">
      <c r="A143" s="134" t="s">
        <v>484</v>
      </c>
      <c r="B143" s="134"/>
      <c r="C143" s="134"/>
      <c r="D143" s="134"/>
      <c r="E143" s="134"/>
      <c r="F143" s="134"/>
      <c r="G143" s="134"/>
      <c r="H143" s="134"/>
      <c r="I143" s="134"/>
      <c r="J143" s="134"/>
      <c r="K143" s="134"/>
      <c r="L143" s="134"/>
      <c r="M143" s="134"/>
      <c r="N143" s="134"/>
      <c r="O143" s="134"/>
      <c r="P143" s="134"/>
      <c r="Q143" s="134"/>
    </row>
    <row r="144" spans="1:17" ht="15.75" thickBot="1" x14ac:dyDescent="0.3">
      <c r="A144" s="134"/>
      <c r="B144" s="134"/>
      <c r="C144" s="134"/>
      <c r="D144" s="134"/>
      <c r="E144" s="134"/>
      <c r="F144" s="134"/>
      <c r="G144" s="134"/>
      <c r="H144" s="134"/>
      <c r="I144" s="134"/>
      <c r="J144" s="134"/>
      <c r="K144" s="134"/>
      <c r="L144" s="134"/>
      <c r="M144" s="134"/>
      <c r="N144" s="134"/>
      <c r="O144" s="134"/>
      <c r="P144" s="134"/>
      <c r="Q144" s="134"/>
    </row>
    <row r="145" spans="1:17" ht="15.75" thickBot="1" x14ac:dyDescent="0.3">
      <c r="A145" s="135"/>
      <c r="B145" s="136" t="s">
        <v>406</v>
      </c>
      <c r="C145" s="137" t="s">
        <v>407</v>
      </c>
      <c r="D145" s="137" t="s">
        <v>408</v>
      </c>
      <c r="E145" s="137" t="s">
        <v>409</v>
      </c>
      <c r="F145" s="137" t="s">
        <v>410</v>
      </c>
      <c r="G145" s="137" t="s">
        <v>411</v>
      </c>
      <c r="H145" s="137" t="s">
        <v>412</v>
      </c>
      <c r="I145" s="137" t="s">
        <v>413</v>
      </c>
      <c r="J145" s="137" t="s">
        <v>414</v>
      </c>
      <c r="K145" s="137" t="s">
        <v>415</v>
      </c>
      <c r="L145" s="137" t="s">
        <v>416</v>
      </c>
      <c r="M145" s="138" t="s">
        <v>417</v>
      </c>
      <c r="N145" s="139" t="s">
        <v>418</v>
      </c>
      <c r="O145" s="134"/>
      <c r="P145" s="134"/>
      <c r="Q145" s="134"/>
    </row>
    <row r="146" spans="1:17" x14ac:dyDescent="0.25">
      <c r="A146" s="140" t="s">
        <v>419</v>
      </c>
      <c r="B146" s="165">
        <f t="shared" ref="B146:M161" si="3">IF(B5/B75&gt;5,(B5-B75*5)*0.75,0)</f>
        <v>0</v>
      </c>
      <c r="C146" s="166">
        <f t="shared" si="3"/>
        <v>0</v>
      </c>
      <c r="D146" s="166">
        <f t="shared" si="3"/>
        <v>0</v>
      </c>
      <c r="E146" s="166">
        <f t="shared" si="3"/>
        <v>22.125</v>
      </c>
      <c r="F146" s="166">
        <f t="shared" si="3"/>
        <v>138.375</v>
      </c>
      <c r="G146" s="166">
        <f t="shared" si="3"/>
        <v>158.625</v>
      </c>
      <c r="H146" s="166">
        <f t="shared" si="3"/>
        <v>197.25</v>
      </c>
      <c r="I146" s="166">
        <f t="shared" si="3"/>
        <v>192.75</v>
      </c>
      <c r="J146" s="166">
        <f t="shared" si="3"/>
        <v>132.375</v>
      </c>
      <c r="K146" s="166">
        <f t="shared" si="3"/>
        <v>113.625</v>
      </c>
      <c r="L146" s="166">
        <f t="shared" si="3"/>
        <v>19.5</v>
      </c>
      <c r="M146" s="166">
        <f t="shared" si="3"/>
        <v>0</v>
      </c>
      <c r="N146" s="167">
        <f t="shared" ref="N146:N209" si="4">SUM(B146:M146)</f>
        <v>974.625</v>
      </c>
      <c r="O146" s="134"/>
      <c r="P146" s="134"/>
      <c r="Q146" s="134"/>
    </row>
    <row r="147" spans="1:17" x14ac:dyDescent="0.25">
      <c r="A147" s="145" t="s">
        <v>420</v>
      </c>
      <c r="B147" s="168">
        <f t="shared" si="3"/>
        <v>0</v>
      </c>
      <c r="C147" s="169">
        <f t="shared" si="3"/>
        <v>0</v>
      </c>
      <c r="D147" s="169">
        <f t="shared" si="3"/>
        <v>0</v>
      </c>
      <c r="E147" s="169">
        <f t="shared" si="3"/>
        <v>30.75</v>
      </c>
      <c r="F147" s="169">
        <f t="shared" si="3"/>
        <v>93</v>
      </c>
      <c r="G147" s="169">
        <f t="shared" si="3"/>
        <v>134.25</v>
      </c>
      <c r="H147" s="169">
        <f t="shared" si="3"/>
        <v>133.875</v>
      </c>
      <c r="I147" s="169">
        <f t="shared" si="3"/>
        <v>152.25</v>
      </c>
      <c r="J147" s="169">
        <f t="shared" si="3"/>
        <v>87.375</v>
      </c>
      <c r="K147" s="169">
        <f t="shared" si="3"/>
        <v>52.875</v>
      </c>
      <c r="L147" s="169">
        <f t="shared" si="3"/>
        <v>4.125</v>
      </c>
      <c r="M147" s="169">
        <f t="shared" si="3"/>
        <v>0</v>
      </c>
      <c r="N147" s="170">
        <f t="shared" si="4"/>
        <v>688.5</v>
      </c>
      <c r="O147" s="134"/>
      <c r="P147" s="134"/>
      <c r="Q147" s="134"/>
    </row>
    <row r="148" spans="1:17" x14ac:dyDescent="0.25">
      <c r="A148" s="145" t="s">
        <v>421</v>
      </c>
      <c r="B148" s="168">
        <f t="shared" si="3"/>
        <v>0</v>
      </c>
      <c r="C148" s="169">
        <f t="shared" si="3"/>
        <v>0</v>
      </c>
      <c r="D148" s="169">
        <f t="shared" si="3"/>
        <v>0</v>
      </c>
      <c r="E148" s="169">
        <f t="shared" si="3"/>
        <v>31.5</v>
      </c>
      <c r="F148" s="169">
        <f t="shared" si="3"/>
        <v>79.875</v>
      </c>
      <c r="G148" s="169">
        <f t="shared" si="3"/>
        <v>138.75</v>
      </c>
      <c r="H148" s="169">
        <f t="shared" si="3"/>
        <v>138.375</v>
      </c>
      <c r="I148" s="169">
        <f t="shared" si="3"/>
        <v>136.875</v>
      </c>
      <c r="J148" s="169">
        <f t="shared" si="3"/>
        <v>63</v>
      </c>
      <c r="K148" s="169">
        <f t="shared" si="3"/>
        <v>26.625</v>
      </c>
      <c r="L148" s="169">
        <f t="shared" si="3"/>
        <v>4.125</v>
      </c>
      <c r="M148" s="169">
        <f t="shared" si="3"/>
        <v>0</v>
      </c>
      <c r="N148" s="170">
        <f t="shared" si="4"/>
        <v>619.125</v>
      </c>
      <c r="O148" s="134"/>
      <c r="P148" s="134"/>
      <c r="Q148" s="134"/>
    </row>
    <row r="149" spans="1:17" x14ac:dyDescent="0.25">
      <c r="A149" s="145" t="s">
        <v>422</v>
      </c>
      <c r="B149" s="168">
        <f t="shared" si="3"/>
        <v>0</v>
      </c>
      <c r="C149" s="169">
        <f t="shared" si="3"/>
        <v>0</v>
      </c>
      <c r="D149" s="169">
        <f t="shared" si="3"/>
        <v>2.25</v>
      </c>
      <c r="E149" s="169">
        <f t="shared" si="3"/>
        <v>33.375</v>
      </c>
      <c r="F149" s="169">
        <f t="shared" si="3"/>
        <v>104.625</v>
      </c>
      <c r="G149" s="169">
        <f t="shared" si="3"/>
        <v>102</v>
      </c>
      <c r="H149" s="169">
        <f t="shared" si="3"/>
        <v>99</v>
      </c>
      <c r="I149" s="169">
        <f t="shared" si="3"/>
        <v>137.625</v>
      </c>
      <c r="J149" s="169">
        <f t="shared" si="3"/>
        <v>125.25</v>
      </c>
      <c r="K149" s="169">
        <f t="shared" si="3"/>
        <v>100.125</v>
      </c>
      <c r="L149" s="169">
        <f t="shared" si="3"/>
        <v>30.75</v>
      </c>
      <c r="M149" s="169">
        <f t="shared" si="3"/>
        <v>0</v>
      </c>
      <c r="N149" s="170">
        <f t="shared" si="4"/>
        <v>735</v>
      </c>
      <c r="O149" s="134"/>
      <c r="P149" s="134"/>
      <c r="Q149" s="134"/>
    </row>
    <row r="150" spans="1:17" x14ac:dyDescent="0.25">
      <c r="A150" s="145" t="s">
        <v>423</v>
      </c>
      <c r="B150" s="168">
        <f t="shared" si="3"/>
        <v>0.375</v>
      </c>
      <c r="C150" s="169">
        <f t="shared" si="3"/>
        <v>3</v>
      </c>
      <c r="D150" s="169">
        <f t="shared" si="3"/>
        <v>12.375</v>
      </c>
      <c r="E150" s="169">
        <f t="shared" si="3"/>
        <v>52.125</v>
      </c>
      <c r="F150" s="169">
        <f t="shared" si="3"/>
        <v>129.75</v>
      </c>
      <c r="G150" s="169">
        <f t="shared" si="3"/>
        <v>175.875</v>
      </c>
      <c r="H150" s="169">
        <f t="shared" si="3"/>
        <v>165</v>
      </c>
      <c r="I150" s="169">
        <f t="shared" si="3"/>
        <v>189.75</v>
      </c>
      <c r="J150" s="169">
        <f t="shared" si="3"/>
        <v>172.5</v>
      </c>
      <c r="K150" s="169">
        <f t="shared" si="3"/>
        <v>181.125</v>
      </c>
      <c r="L150" s="169">
        <f t="shared" si="3"/>
        <v>81.75</v>
      </c>
      <c r="M150" s="169">
        <f t="shared" si="3"/>
        <v>12.75</v>
      </c>
      <c r="N150" s="170">
        <f t="shared" si="4"/>
        <v>1176.375</v>
      </c>
      <c r="O150" s="134"/>
      <c r="P150" s="134"/>
      <c r="Q150" s="134"/>
    </row>
    <row r="151" spans="1:17" x14ac:dyDescent="0.25">
      <c r="A151" s="145" t="s">
        <v>424</v>
      </c>
      <c r="B151" s="168">
        <f t="shared" si="3"/>
        <v>0</v>
      </c>
      <c r="C151" s="169">
        <f t="shared" si="3"/>
        <v>0</v>
      </c>
      <c r="D151" s="169">
        <f t="shared" si="3"/>
        <v>16.875</v>
      </c>
      <c r="E151" s="169">
        <f t="shared" si="3"/>
        <v>9</v>
      </c>
      <c r="F151" s="169">
        <f t="shared" si="3"/>
        <v>30</v>
      </c>
      <c r="G151" s="169">
        <f t="shared" si="3"/>
        <v>16.5</v>
      </c>
      <c r="H151" s="169">
        <f t="shared" si="3"/>
        <v>7.875</v>
      </c>
      <c r="I151" s="169">
        <f t="shared" si="3"/>
        <v>4.875</v>
      </c>
      <c r="J151" s="169">
        <f t="shared" si="3"/>
        <v>62.625</v>
      </c>
      <c r="K151" s="169">
        <f t="shared" si="3"/>
        <v>171</v>
      </c>
      <c r="L151" s="169">
        <f t="shared" si="3"/>
        <v>183</v>
      </c>
      <c r="M151" s="169">
        <f t="shared" si="3"/>
        <v>64.5</v>
      </c>
      <c r="N151" s="170">
        <f t="shared" si="4"/>
        <v>566.25</v>
      </c>
      <c r="O151" s="134"/>
      <c r="P151" s="134"/>
      <c r="Q151" s="134"/>
    </row>
    <row r="152" spans="1:17" x14ac:dyDescent="0.25">
      <c r="A152" s="145" t="s">
        <v>425</v>
      </c>
      <c r="B152" s="168">
        <f t="shared" si="3"/>
        <v>0</v>
      </c>
      <c r="C152" s="169">
        <f t="shared" si="3"/>
        <v>0</v>
      </c>
      <c r="D152" s="169">
        <f t="shared" si="3"/>
        <v>0</v>
      </c>
      <c r="E152" s="169">
        <f t="shared" si="3"/>
        <v>9</v>
      </c>
      <c r="F152" s="169">
        <f t="shared" si="3"/>
        <v>72.375</v>
      </c>
      <c r="G152" s="169">
        <f t="shared" si="3"/>
        <v>86.625</v>
      </c>
      <c r="H152" s="169">
        <f t="shared" si="3"/>
        <v>89.625</v>
      </c>
      <c r="I152" s="169">
        <f t="shared" si="3"/>
        <v>96.375</v>
      </c>
      <c r="J152" s="169">
        <f t="shared" si="3"/>
        <v>109.875</v>
      </c>
      <c r="K152" s="169">
        <f t="shared" si="3"/>
        <v>157.5</v>
      </c>
      <c r="L152" s="169">
        <f t="shared" si="3"/>
        <v>46.5</v>
      </c>
      <c r="M152" s="169">
        <f t="shared" si="3"/>
        <v>4.875</v>
      </c>
      <c r="N152" s="170">
        <f t="shared" si="4"/>
        <v>672.75</v>
      </c>
      <c r="O152" s="134"/>
      <c r="P152" s="134"/>
      <c r="Q152" s="134"/>
    </row>
    <row r="153" spans="1:17" x14ac:dyDescent="0.25">
      <c r="A153" s="145" t="s">
        <v>426</v>
      </c>
      <c r="B153" s="168">
        <f t="shared" si="3"/>
        <v>0</v>
      </c>
      <c r="C153" s="169">
        <f t="shared" si="3"/>
        <v>1.125</v>
      </c>
      <c r="D153" s="169">
        <f t="shared" si="3"/>
        <v>3.375</v>
      </c>
      <c r="E153" s="169">
        <f t="shared" si="3"/>
        <v>18.75</v>
      </c>
      <c r="F153" s="169">
        <f t="shared" si="3"/>
        <v>72.75</v>
      </c>
      <c r="G153" s="169">
        <f t="shared" si="3"/>
        <v>83.625</v>
      </c>
      <c r="H153" s="169">
        <f t="shared" si="3"/>
        <v>81.75</v>
      </c>
      <c r="I153" s="169">
        <f t="shared" si="3"/>
        <v>102.375</v>
      </c>
      <c r="J153" s="169">
        <f t="shared" si="3"/>
        <v>98.25</v>
      </c>
      <c r="K153" s="169">
        <f t="shared" si="3"/>
        <v>150.375</v>
      </c>
      <c r="L153" s="169">
        <f t="shared" si="3"/>
        <v>54.375</v>
      </c>
      <c r="M153" s="169">
        <f t="shared" si="3"/>
        <v>5.625</v>
      </c>
      <c r="N153" s="170">
        <f t="shared" si="4"/>
        <v>672.375</v>
      </c>
      <c r="O153" s="134"/>
      <c r="P153" s="134"/>
      <c r="Q153" s="134"/>
    </row>
    <row r="154" spans="1:17" x14ac:dyDescent="0.25">
      <c r="A154" s="145" t="s">
        <v>427</v>
      </c>
      <c r="B154" s="168">
        <f t="shared" si="3"/>
        <v>0</v>
      </c>
      <c r="C154" s="169">
        <f t="shared" si="3"/>
        <v>0</v>
      </c>
      <c r="D154" s="169">
        <f t="shared" si="3"/>
        <v>0</v>
      </c>
      <c r="E154" s="169">
        <f t="shared" si="3"/>
        <v>22.125</v>
      </c>
      <c r="F154" s="169">
        <f t="shared" si="3"/>
        <v>82.5</v>
      </c>
      <c r="G154" s="169">
        <f t="shared" si="3"/>
        <v>113.625</v>
      </c>
      <c r="H154" s="169">
        <f t="shared" si="3"/>
        <v>133.125</v>
      </c>
      <c r="I154" s="169">
        <f t="shared" si="3"/>
        <v>126.75</v>
      </c>
      <c r="J154" s="169">
        <f t="shared" si="3"/>
        <v>57</v>
      </c>
      <c r="K154" s="169">
        <f t="shared" si="3"/>
        <v>23.625</v>
      </c>
      <c r="L154" s="169">
        <f t="shared" si="3"/>
        <v>5.25</v>
      </c>
      <c r="M154" s="169">
        <f t="shared" si="3"/>
        <v>0</v>
      </c>
      <c r="N154" s="170">
        <f t="shared" si="4"/>
        <v>564</v>
      </c>
      <c r="O154" s="134"/>
      <c r="P154" s="134"/>
      <c r="Q154" s="134"/>
    </row>
    <row r="155" spans="1:17" x14ac:dyDescent="0.25">
      <c r="A155" s="145" t="s">
        <v>428</v>
      </c>
      <c r="B155" s="168">
        <f t="shared" si="3"/>
        <v>0.75</v>
      </c>
      <c r="C155" s="169">
        <f t="shared" si="3"/>
        <v>1.875</v>
      </c>
      <c r="D155" s="169">
        <f t="shared" si="3"/>
        <v>9</v>
      </c>
      <c r="E155" s="169">
        <f t="shared" si="3"/>
        <v>20.625</v>
      </c>
      <c r="F155" s="169">
        <f t="shared" si="3"/>
        <v>60</v>
      </c>
      <c r="G155" s="169">
        <f t="shared" si="3"/>
        <v>51.75</v>
      </c>
      <c r="H155" s="169">
        <f t="shared" si="3"/>
        <v>60</v>
      </c>
      <c r="I155" s="169">
        <f t="shared" si="3"/>
        <v>68.25</v>
      </c>
      <c r="J155" s="169">
        <f t="shared" si="3"/>
        <v>110.625</v>
      </c>
      <c r="K155" s="169">
        <f t="shared" si="3"/>
        <v>123</v>
      </c>
      <c r="L155" s="169">
        <f t="shared" si="3"/>
        <v>56.625</v>
      </c>
      <c r="M155" s="169">
        <f t="shared" si="3"/>
        <v>3.375</v>
      </c>
      <c r="N155" s="170">
        <f t="shared" si="4"/>
        <v>565.875</v>
      </c>
      <c r="O155" s="134"/>
      <c r="P155" s="134"/>
      <c r="Q155" s="134"/>
    </row>
    <row r="156" spans="1:17" x14ac:dyDescent="0.25">
      <c r="A156" s="145" t="s">
        <v>429</v>
      </c>
      <c r="B156" s="168">
        <f t="shared" si="3"/>
        <v>0</v>
      </c>
      <c r="C156" s="169">
        <f t="shared" si="3"/>
        <v>0</v>
      </c>
      <c r="D156" s="169">
        <f t="shared" si="3"/>
        <v>3.75</v>
      </c>
      <c r="E156" s="169">
        <f t="shared" si="3"/>
        <v>33.375</v>
      </c>
      <c r="F156" s="169">
        <f t="shared" si="3"/>
        <v>63</v>
      </c>
      <c r="G156" s="169">
        <f t="shared" si="3"/>
        <v>17.25</v>
      </c>
      <c r="H156" s="169">
        <f t="shared" si="3"/>
        <v>28.5</v>
      </c>
      <c r="I156" s="169">
        <f t="shared" si="3"/>
        <v>52.125</v>
      </c>
      <c r="J156" s="169">
        <f t="shared" si="3"/>
        <v>46.125</v>
      </c>
      <c r="K156" s="169">
        <f t="shared" si="3"/>
        <v>115.875</v>
      </c>
      <c r="L156" s="169">
        <f t="shared" si="3"/>
        <v>62.625</v>
      </c>
      <c r="M156" s="169">
        <f t="shared" si="3"/>
        <v>12.375</v>
      </c>
      <c r="N156" s="170">
        <f t="shared" si="4"/>
        <v>435</v>
      </c>
      <c r="O156" s="134"/>
      <c r="P156" s="134"/>
      <c r="Q156" s="134"/>
    </row>
    <row r="157" spans="1:17" x14ac:dyDescent="0.25">
      <c r="A157" s="145" t="s">
        <v>430</v>
      </c>
      <c r="B157" s="168">
        <f t="shared" si="3"/>
        <v>1.875</v>
      </c>
      <c r="C157" s="169">
        <f t="shared" si="3"/>
        <v>2.25</v>
      </c>
      <c r="D157" s="169">
        <f t="shared" si="3"/>
        <v>0.75</v>
      </c>
      <c r="E157" s="169">
        <f t="shared" si="3"/>
        <v>9</v>
      </c>
      <c r="F157" s="169">
        <f t="shared" si="3"/>
        <v>97.5</v>
      </c>
      <c r="G157" s="169">
        <f t="shared" si="3"/>
        <v>154.5</v>
      </c>
      <c r="H157" s="169">
        <f t="shared" si="3"/>
        <v>141.375</v>
      </c>
      <c r="I157" s="169">
        <f t="shared" si="3"/>
        <v>163.875</v>
      </c>
      <c r="J157" s="169">
        <f t="shared" si="3"/>
        <v>166.125</v>
      </c>
      <c r="K157" s="169">
        <f t="shared" si="3"/>
        <v>207.375</v>
      </c>
      <c r="L157" s="169">
        <f t="shared" si="3"/>
        <v>90.75</v>
      </c>
      <c r="M157" s="169">
        <f t="shared" si="3"/>
        <v>26.625</v>
      </c>
      <c r="N157" s="170">
        <f t="shared" si="4"/>
        <v>1062</v>
      </c>
      <c r="O157" s="134"/>
      <c r="P157" s="134"/>
      <c r="Q157" s="134"/>
    </row>
    <row r="158" spans="1:17" x14ac:dyDescent="0.25">
      <c r="A158" s="145" t="s">
        <v>431</v>
      </c>
      <c r="B158" s="168">
        <f t="shared" si="3"/>
        <v>0</v>
      </c>
      <c r="C158" s="169">
        <f t="shared" si="3"/>
        <v>0</v>
      </c>
      <c r="D158" s="169">
        <f t="shared" si="3"/>
        <v>0</v>
      </c>
      <c r="E158" s="169">
        <f t="shared" si="3"/>
        <v>30</v>
      </c>
      <c r="F158" s="169">
        <f t="shared" si="3"/>
        <v>96.75</v>
      </c>
      <c r="G158" s="169">
        <f t="shared" si="3"/>
        <v>174.75</v>
      </c>
      <c r="H158" s="169">
        <f t="shared" si="3"/>
        <v>220.875</v>
      </c>
      <c r="I158" s="169">
        <f t="shared" si="3"/>
        <v>333.75</v>
      </c>
      <c r="J158" s="169">
        <f t="shared" si="3"/>
        <v>210</v>
      </c>
      <c r="K158" s="169">
        <f t="shared" si="3"/>
        <v>93.75</v>
      </c>
      <c r="L158" s="169">
        <f t="shared" si="3"/>
        <v>19.875</v>
      </c>
      <c r="M158" s="169">
        <f t="shared" si="3"/>
        <v>0</v>
      </c>
      <c r="N158" s="170">
        <f t="shared" si="4"/>
        <v>1179.75</v>
      </c>
      <c r="O158" s="134"/>
      <c r="P158" s="134"/>
      <c r="Q158" s="134"/>
    </row>
    <row r="159" spans="1:17" x14ac:dyDescent="0.25">
      <c r="A159" s="145" t="s">
        <v>432</v>
      </c>
      <c r="B159" s="168">
        <f t="shared" si="3"/>
        <v>0</v>
      </c>
      <c r="C159" s="169">
        <f t="shared" si="3"/>
        <v>5.625</v>
      </c>
      <c r="D159" s="169">
        <f t="shared" si="3"/>
        <v>27</v>
      </c>
      <c r="E159" s="169">
        <f t="shared" si="3"/>
        <v>83.625</v>
      </c>
      <c r="F159" s="169">
        <f t="shared" si="3"/>
        <v>84.375</v>
      </c>
      <c r="G159" s="169">
        <f t="shared" si="3"/>
        <v>76.875</v>
      </c>
      <c r="H159" s="169">
        <f t="shared" si="3"/>
        <v>89.625</v>
      </c>
      <c r="I159" s="169">
        <f t="shared" si="3"/>
        <v>91.125</v>
      </c>
      <c r="J159" s="169">
        <f t="shared" si="3"/>
        <v>120.375</v>
      </c>
      <c r="K159" s="169">
        <f t="shared" si="3"/>
        <v>111.75</v>
      </c>
      <c r="L159" s="169">
        <f t="shared" si="3"/>
        <v>28.5</v>
      </c>
      <c r="M159" s="169">
        <f t="shared" si="3"/>
        <v>6</v>
      </c>
      <c r="N159" s="170">
        <f t="shared" si="4"/>
        <v>724.875</v>
      </c>
      <c r="O159" s="134"/>
      <c r="P159" s="134"/>
      <c r="Q159" s="134"/>
    </row>
    <row r="160" spans="1:17" x14ac:dyDescent="0.25">
      <c r="A160" s="145" t="s">
        <v>433</v>
      </c>
      <c r="B160" s="168">
        <f t="shared" si="3"/>
        <v>18.75</v>
      </c>
      <c r="C160" s="169">
        <f t="shared" si="3"/>
        <v>0</v>
      </c>
      <c r="D160" s="169">
        <f t="shared" si="3"/>
        <v>0</v>
      </c>
      <c r="E160" s="169">
        <f t="shared" si="3"/>
        <v>6</v>
      </c>
      <c r="F160" s="169">
        <f t="shared" si="3"/>
        <v>26.25</v>
      </c>
      <c r="G160" s="169">
        <f t="shared" si="3"/>
        <v>34.875</v>
      </c>
      <c r="H160" s="169">
        <f t="shared" si="3"/>
        <v>30.75</v>
      </c>
      <c r="I160" s="169">
        <f t="shared" si="3"/>
        <v>46.5</v>
      </c>
      <c r="J160" s="169">
        <f t="shared" si="3"/>
        <v>180</v>
      </c>
      <c r="K160" s="169">
        <f t="shared" si="3"/>
        <v>412.125</v>
      </c>
      <c r="L160" s="169">
        <f t="shared" si="3"/>
        <v>247.125</v>
      </c>
      <c r="M160" s="169">
        <f t="shared" si="3"/>
        <v>93.375</v>
      </c>
      <c r="N160" s="170">
        <f t="shared" si="4"/>
        <v>1095.75</v>
      </c>
      <c r="O160" s="134"/>
      <c r="P160" s="134"/>
      <c r="Q160" s="134"/>
    </row>
    <row r="161" spans="1:17" x14ac:dyDescent="0.25">
      <c r="A161" s="145" t="s">
        <v>434</v>
      </c>
      <c r="B161" s="168">
        <f t="shared" si="3"/>
        <v>0</v>
      </c>
      <c r="C161" s="169">
        <f t="shared" si="3"/>
        <v>8.25</v>
      </c>
      <c r="D161" s="169">
        <f t="shared" si="3"/>
        <v>19.5</v>
      </c>
      <c r="E161" s="169">
        <f t="shared" si="3"/>
        <v>36.75</v>
      </c>
      <c r="F161" s="169">
        <f t="shared" si="3"/>
        <v>76.125</v>
      </c>
      <c r="G161" s="169">
        <f t="shared" si="3"/>
        <v>129.375</v>
      </c>
      <c r="H161" s="169">
        <f t="shared" si="3"/>
        <v>148.5</v>
      </c>
      <c r="I161" s="169">
        <f t="shared" si="3"/>
        <v>154.875</v>
      </c>
      <c r="J161" s="169">
        <f t="shared" si="3"/>
        <v>63</v>
      </c>
      <c r="K161" s="169">
        <f t="shared" si="3"/>
        <v>16.125</v>
      </c>
      <c r="L161" s="169">
        <f t="shared" si="3"/>
        <v>2.625</v>
      </c>
      <c r="M161" s="169">
        <f t="shared" si="3"/>
        <v>1.875</v>
      </c>
      <c r="N161" s="170">
        <f t="shared" si="4"/>
        <v>657</v>
      </c>
      <c r="O161" s="134"/>
      <c r="P161" s="134"/>
      <c r="Q161" s="134"/>
    </row>
    <row r="162" spans="1:17" x14ac:dyDescent="0.25">
      <c r="A162" s="145" t="s">
        <v>435</v>
      </c>
      <c r="B162" s="168">
        <f t="shared" ref="B162:M177" si="5">IF(B21/B91&gt;5,(B21-B91*5)*0.75,0)</f>
        <v>0</v>
      </c>
      <c r="C162" s="169">
        <f t="shared" si="5"/>
        <v>0</v>
      </c>
      <c r="D162" s="169">
        <f t="shared" si="5"/>
        <v>0</v>
      </c>
      <c r="E162" s="169">
        <f t="shared" si="5"/>
        <v>8.25</v>
      </c>
      <c r="F162" s="169">
        <f t="shared" si="5"/>
        <v>52.875</v>
      </c>
      <c r="G162" s="169">
        <f t="shared" si="5"/>
        <v>35.625</v>
      </c>
      <c r="H162" s="169">
        <f t="shared" si="5"/>
        <v>27.75</v>
      </c>
      <c r="I162" s="169">
        <f t="shared" si="5"/>
        <v>90.375</v>
      </c>
      <c r="J162" s="169">
        <f t="shared" si="5"/>
        <v>229.875</v>
      </c>
      <c r="K162" s="169">
        <f t="shared" si="5"/>
        <v>418.875</v>
      </c>
      <c r="L162" s="169">
        <f t="shared" si="5"/>
        <v>222.375</v>
      </c>
      <c r="M162" s="169">
        <f t="shared" si="5"/>
        <v>64.875</v>
      </c>
      <c r="N162" s="170">
        <f t="shared" si="4"/>
        <v>1150.875</v>
      </c>
      <c r="O162" s="134"/>
      <c r="P162" s="134"/>
      <c r="Q162" s="134"/>
    </row>
    <row r="163" spans="1:17" x14ac:dyDescent="0.25">
      <c r="A163" s="145" t="s">
        <v>436</v>
      </c>
      <c r="B163" s="168">
        <f t="shared" si="5"/>
        <v>0</v>
      </c>
      <c r="C163" s="169">
        <f t="shared" si="5"/>
        <v>0</v>
      </c>
      <c r="D163" s="169">
        <f t="shared" si="5"/>
        <v>0</v>
      </c>
      <c r="E163" s="169">
        <f t="shared" si="5"/>
        <v>5.625</v>
      </c>
      <c r="F163" s="169">
        <f t="shared" si="5"/>
        <v>45.375</v>
      </c>
      <c r="G163" s="169">
        <f t="shared" si="5"/>
        <v>35.625</v>
      </c>
      <c r="H163" s="169">
        <f t="shared" si="5"/>
        <v>30</v>
      </c>
      <c r="I163" s="169">
        <f t="shared" si="5"/>
        <v>79.5</v>
      </c>
      <c r="J163" s="169">
        <f t="shared" si="5"/>
        <v>287.625</v>
      </c>
      <c r="K163" s="169">
        <f t="shared" si="5"/>
        <v>430.125</v>
      </c>
      <c r="L163" s="169">
        <f t="shared" si="5"/>
        <v>195</v>
      </c>
      <c r="M163" s="169">
        <f t="shared" si="5"/>
        <v>42.75</v>
      </c>
      <c r="N163" s="170">
        <f t="shared" si="4"/>
        <v>1151.625</v>
      </c>
      <c r="O163" s="134"/>
      <c r="P163" s="134"/>
      <c r="Q163" s="134"/>
    </row>
    <row r="164" spans="1:17" x14ac:dyDescent="0.25">
      <c r="A164" s="145" t="s">
        <v>437</v>
      </c>
      <c r="B164" s="168">
        <f t="shared" si="5"/>
        <v>0</v>
      </c>
      <c r="C164" s="169">
        <f t="shared" si="5"/>
        <v>0</v>
      </c>
      <c r="D164" s="169">
        <f t="shared" si="5"/>
        <v>0</v>
      </c>
      <c r="E164" s="169">
        <f t="shared" si="5"/>
        <v>15.375</v>
      </c>
      <c r="F164" s="169">
        <f t="shared" si="5"/>
        <v>80.25</v>
      </c>
      <c r="G164" s="169">
        <f t="shared" si="5"/>
        <v>126</v>
      </c>
      <c r="H164" s="169">
        <f t="shared" si="5"/>
        <v>115.875</v>
      </c>
      <c r="I164" s="169">
        <f t="shared" si="5"/>
        <v>145.125</v>
      </c>
      <c r="J164" s="169">
        <f t="shared" si="5"/>
        <v>125.25</v>
      </c>
      <c r="K164" s="169">
        <f t="shared" si="5"/>
        <v>104.625</v>
      </c>
      <c r="L164" s="169">
        <f t="shared" si="5"/>
        <v>41.25</v>
      </c>
      <c r="M164" s="169">
        <f t="shared" si="5"/>
        <v>9</v>
      </c>
      <c r="N164" s="170">
        <f t="shared" si="4"/>
        <v>762.75</v>
      </c>
      <c r="O164" s="134"/>
      <c r="P164" s="134"/>
      <c r="Q164" s="134"/>
    </row>
    <row r="165" spans="1:17" x14ac:dyDescent="0.25">
      <c r="A165" s="145" t="s">
        <v>438</v>
      </c>
      <c r="B165" s="168">
        <f t="shared" si="5"/>
        <v>0</v>
      </c>
      <c r="C165" s="169">
        <f t="shared" si="5"/>
        <v>0</v>
      </c>
      <c r="D165" s="169">
        <f t="shared" si="5"/>
        <v>0.375</v>
      </c>
      <c r="E165" s="169">
        <f t="shared" si="5"/>
        <v>24.75</v>
      </c>
      <c r="F165" s="169">
        <f t="shared" si="5"/>
        <v>164.25</v>
      </c>
      <c r="G165" s="169">
        <f t="shared" si="5"/>
        <v>257.25</v>
      </c>
      <c r="H165" s="169">
        <f t="shared" si="5"/>
        <v>299.25</v>
      </c>
      <c r="I165" s="169">
        <f t="shared" si="5"/>
        <v>225.375</v>
      </c>
      <c r="J165" s="169">
        <f t="shared" si="5"/>
        <v>127.875</v>
      </c>
      <c r="K165" s="169">
        <f t="shared" si="5"/>
        <v>75.375</v>
      </c>
      <c r="L165" s="169">
        <f t="shared" si="5"/>
        <v>30.75</v>
      </c>
      <c r="M165" s="169">
        <f t="shared" si="5"/>
        <v>0</v>
      </c>
      <c r="N165" s="170">
        <f t="shared" si="4"/>
        <v>1205.25</v>
      </c>
      <c r="O165" s="134"/>
      <c r="P165" s="134"/>
      <c r="Q165" s="134"/>
    </row>
    <row r="166" spans="1:17" x14ac:dyDescent="0.25">
      <c r="A166" s="145" t="s">
        <v>439</v>
      </c>
      <c r="B166" s="168">
        <f t="shared" si="5"/>
        <v>0</v>
      </c>
      <c r="C166" s="169">
        <f t="shared" si="5"/>
        <v>0</v>
      </c>
      <c r="D166" s="169">
        <f t="shared" si="5"/>
        <v>0</v>
      </c>
      <c r="E166" s="169">
        <f t="shared" si="5"/>
        <v>24.75</v>
      </c>
      <c r="F166" s="169">
        <f t="shared" si="5"/>
        <v>69.375</v>
      </c>
      <c r="G166" s="169">
        <f t="shared" si="5"/>
        <v>144.75</v>
      </c>
      <c r="H166" s="169">
        <f t="shared" si="5"/>
        <v>131.25</v>
      </c>
      <c r="I166" s="169">
        <f t="shared" si="5"/>
        <v>142.125</v>
      </c>
      <c r="J166" s="169">
        <f t="shared" si="5"/>
        <v>131.25</v>
      </c>
      <c r="K166" s="169">
        <f t="shared" si="5"/>
        <v>76.125</v>
      </c>
      <c r="L166" s="169">
        <f t="shared" si="5"/>
        <v>14.625</v>
      </c>
      <c r="M166" s="169">
        <f t="shared" si="5"/>
        <v>0</v>
      </c>
      <c r="N166" s="170">
        <f t="shared" si="4"/>
        <v>734.25</v>
      </c>
      <c r="O166" s="134"/>
      <c r="P166" s="134"/>
      <c r="Q166" s="134"/>
    </row>
    <row r="167" spans="1:17" x14ac:dyDescent="0.25">
      <c r="A167" s="145" t="s">
        <v>440</v>
      </c>
      <c r="B167" s="168">
        <f t="shared" si="5"/>
        <v>18</v>
      </c>
      <c r="C167" s="169">
        <f t="shared" si="5"/>
        <v>0</v>
      </c>
      <c r="D167" s="169">
        <f t="shared" si="5"/>
        <v>0</v>
      </c>
      <c r="E167" s="169">
        <f t="shared" si="5"/>
        <v>13.125</v>
      </c>
      <c r="F167" s="169">
        <f t="shared" si="5"/>
        <v>65.625</v>
      </c>
      <c r="G167" s="169">
        <f t="shared" si="5"/>
        <v>74.625</v>
      </c>
      <c r="H167" s="169">
        <f t="shared" si="5"/>
        <v>57</v>
      </c>
      <c r="I167" s="169">
        <f t="shared" si="5"/>
        <v>125.625</v>
      </c>
      <c r="J167" s="169">
        <f t="shared" si="5"/>
        <v>343.125</v>
      </c>
      <c r="K167" s="169">
        <f t="shared" si="5"/>
        <v>504.75</v>
      </c>
      <c r="L167" s="169">
        <f t="shared" si="5"/>
        <v>177.75</v>
      </c>
      <c r="M167" s="169">
        <f t="shared" si="5"/>
        <v>70.5</v>
      </c>
      <c r="N167" s="170">
        <f t="shared" si="4"/>
        <v>1450.125</v>
      </c>
      <c r="O167" s="134"/>
      <c r="P167" s="134"/>
      <c r="Q167" s="134"/>
    </row>
    <row r="168" spans="1:17" x14ac:dyDescent="0.25">
      <c r="A168" s="145" t="s">
        <v>441</v>
      </c>
      <c r="B168" s="168">
        <f t="shared" si="5"/>
        <v>0</v>
      </c>
      <c r="C168" s="169">
        <f t="shared" si="5"/>
        <v>0</v>
      </c>
      <c r="D168" s="169">
        <f t="shared" si="5"/>
        <v>0</v>
      </c>
      <c r="E168" s="169">
        <f t="shared" si="5"/>
        <v>19.875</v>
      </c>
      <c r="F168" s="169">
        <f t="shared" si="5"/>
        <v>77.25</v>
      </c>
      <c r="G168" s="169">
        <f t="shared" si="5"/>
        <v>123.375</v>
      </c>
      <c r="H168" s="169">
        <f t="shared" si="5"/>
        <v>123.75</v>
      </c>
      <c r="I168" s="169">
        <f t="shared" si="5"/>
        <v>145.125</v>
      </c>
      <c r="J168" s="169">
        <f t="shared" si="5"/>
        <v>108.375</v>
      </c>
      <c r="K168" s="169">
        <f t="shared" si="5"/>
        <v>68.625</v>
      </c>
      <c r="L168" s="169">
        <f t="shared" si="5"/>
        <v>11.25</v>
      </c>
      <c r="M168" s="169">
        <f t="shared" si="5"/>
        <v>0</v>
      </c>
      <c r="N168" s="170">
        <f t="shared" si="4"/>
        <v>677.625</v>
      </c>
      <c r="O168" s="134"/>
      <c r="P168" s="134"/>
      <c r="Q168" s="134"/>
    </row>
    <row r="169" spans="1:17" x14ac:dyDescent="0.25">
      <c r="A169" s="145" t="s">
        <v>442</v>
      </c>
      <c r="B169" s="168">
        <f t="shared" si="5"/>
        <v>0</v>
      </c>
      <c r="C169" s="169">
        <f t="shared" si="5"/>
        <v>0</v>
      </c>
      <c r="D169" s="169">
        <f t="shared" si="5"/>
        <v>0</v>
      </c>
      <c r="E169" s="169">
        <f t="shared" si="5"/>
        <v>23.25</v>
      </c>
      <c r="F169" s="169">
        <f t="shared" si="5"/>
        <v>114</v>
      </c>
      <c r="G169" s="169">
        <f t="shared" si="5"/>
        <v>139.125</v>
      </c>
      <c r="H169" s="169">
        <f t="shared" si="5"/>
        <v>150.375</v>
      </c>
      <c r="I169" s="169">
        <f t="shared" si="5"/>
        <v>174</v>
      </c>
      <c r="J169" s="169">
        <f t="shared" si="5"/>
        <v>169.5</v>
      </c>
      <c r="K169" s="169">
        <f t="shared" si="5"/>
        <v>102</v>
      </c>
      <c r="L169" s="169">
        <f t="shared" si="5"/>
        <v>19.125</v>
      </c>
      <c r="M169" s="169">
        <f t="shared" si="5"/>
        <v>0</v>
      </c>
      <c r="N169" s="170">
        <f t="shared" si="4"/>
        <v>891.375</v>
      </c>
      <c r="O169" s="134"/>
      <c r="P169" s="134"/>
      <c r="Q169" s="134"/>
    </row>
    <row r="170" spans="1:17" x14ac:dyDescent="0.25">
      <c r="A170" s="145" t="s">
        <v>443</v>
      </c>
      <c r="B170" s="168">
        <f t="shared" si="5"/>
        <v>0</v>
      </c>
      <c r="C170" s="169">
        <f t="shared" si="5"/>
        <v>0</v>
      </c>
      <c r="D170" s="169">
        <f t="shared" si="5"/>
        <v>0</v>
      </c>
      <c r="E170" s="169">
        <f t="shared" si="5"/>
        <v>24</v>
      </c>
      <c r="F170" s="169">
        <f t="shared" si="5"/>
        <v>30.375</v>
      </c>
      <c r="G170" s="169">
        <f t="shared" si="5"/>
        <v>61.125</v>
      </c>
      <c r="H170" s="169">
        <f t="shared" si="5"/>
        <v>139.5</v>
      </c>
      <c r="I170" s="169">
        <f t="shared" si="5"/>
        <v>87.75</v>
      </c>
      <c r="J170" s="169">
        <f t="shared" si="5"/>
        <v>119.25</v>
      </c>
      <c r="K170" s="169">
        <f t="shared" si="5"/>
        <v>130.875</v>
      </c>
      <c r="L170" s="169">
        <f t="shared" si="5"/>
        <v>61.5</v>
      </c>
      <c r="M170" s="169">
        <f t="shared" si="5"/>
        <v>0</v>
      </c>
      <c r="N170" s="170">
        <f t="shared" si="4"/>
        <v>654.375</v>
      </c>
      <c r="O170" s="134"/>
      <c r="P170" s="134"/>
      <c r="Q170" s="134"/>
    </row>
    <row r="171" spans="1:17" x14ac:dyDescent="0.25">
      <c r="A171" s="145" t="s">
        <v>444</v>
      </c>
      <c r="B171" s="168">
        <f t="shared" si="5"/>
        <v>0</v>
      </c>
      <c r="C171" s="169">
        <f t="shared" si="5"/>
        <v>0</v>
      </c>
      <c r="D171" s="169">
        <f t="shared" si="5"/>
        <v>0</v>
      </c>
      <c r="E171" s="169">
        <f t="shared" si="5"/>
        <v>24.75</v>
      </c>
      <c r="F171" s="169">
        <f t="shared" si="5"/>
        <v>84.75</v>
      </c>
      <c r="G171" s="169">
        <f t="shared" si="5"/>
        <v>165.75</v>
      </c>
      <c r="H171" s="169">
        <f t="shared" si="5"/>
        <v>186.75</v>
      </c>
      <c r="I171" s="169">
        <f t="shared" si="5"/>
        <v>264</v>
      </c>
      <c r="J171" s="169">
        <f t="shared" si="5"/>
        <v>158.625</v>
      </c>
      <c r="K171" s="169">
        <f t="shared" si="5"/>
        <v>81.375</v>
      </c>
      <c r="L171" s="169">
        <f t="shared" si="5"/>
        <v>6.375</v>
      </c>
      <c r="M171" s="169">
        <f t="shared" si="5"/>
        <v>0</v>
      </c>
      <c r="N171" s="170">
        <f t="shared" si="4"/>
        <v>972.375</v>
      </c>
      <c r="O171" s="134"/>
      <c r="P171" s="134"/>
      <c r="Q171" s="134"/>
    </row>
    <row r="172" spans="1:17" x14ac:dyDescent="0.25">
      <c r="A172" s="145" t="s">
        <v>445</v>
      </c>
      <c r="B172" s="168">
        <f t="shared" si="5"/>
        <v>40.5</v>
      </c>
      <c r="C172" s="169">
        <f t="shared" si="5"/>
        <v>4.125</v>
      </c>
      <c r="D172" s="169">
        <f t="shared" si="5"/>
        <v>0</v>
      </c>
      <c r="E172" s="169">
        <f t="shared" si="5"/>
        <v>3.375</v>
      </c>
      <c r="F172" s="169">
        <f t="shared" si="5"/>
        <v>27.75</v>
      </c>
      <c r="G172" s="169">
        <f t="shared" si="5"/>
        <v>46.125</v>
      </c>
      <c r="H172" s="169">
        <f t="shared" si="5"/>
        <v>38.25</v>
      </c>
      <c r="I172" s="169">
        <f t="shared" si="5"/>
        <v>46.5</v>
      </c>
      <c r="J172" s="169">
        <f t="shared" si="5"/>
        <v>233.25</v>
      </c>
      <c r="K172" s="169">
        <f t="shared" si="5"/>
        <v>489.75</v>
      </c>
      <c r="L172" s="169">
        <f t="shared" si="5"/>
        <v>385.125</v>
      </c>
      <c r="M172" s="169">
        <f t="shared" si="5"/>
        <v>159.375</v>
      </c>
      <c r="N172" s="170">
        <f t="shared" si="4"/>
        <v>1474.125</v>
      </c>
      <c r="O172" s="134"/>
      <c r="P172" s="134"/>
      <c r="Q172" s="134"/>
    </row>
    <row r="173" spans="1:17" x14ac:dyDescent="0.25">
      <c r="A173" s="145" t="s">
        <v>446</v>
      </c>
      <c r="B173" s="168">
        <f t="shared" si="5"/>
        <v>0</v>
      </c>
      <c r="C173" s="169">
        <f t="shared" si="5"/>
        <v>0</v>
      </c>
      <c r="D173" s="169">
        <f t="shared" si="5"/>
        <v>0</v>
      </c>
      <c r="E173" s="169">
        <f t="shared" si="5"/>
        <v>17.25</v>
      </c>
      <c r="F173" s="169">
        <f t="shared" si="5"/>
        <v>79.875</v>
      </c>
      <c r="G173" s="169">
        <f t="shared" si="5"/>
        <v>118.5</v>
      </c>
      <c r="H173" s="169">
        <f t="shared" si="5"/>
        <v>115.125</v>
      </c>
      <c r="I173" s="169">
        <f t="shared" si="5"/>
        <v>156.375</v>
      </c>
      <c r="J173" s="169">
        <f t="shared" si="5"/>
        <v>144.375</v>
      </c>
      <c r="K173" s="169">
        <f t="shared" si="5"/>
        <v>98.25</v>
      </c>
      <c r="L173" s="169">
        <f t="shared" si="5"/>
        <v>28.875</v>
      </c>
      <c r="M173" s="169">
        <f t="shared" si="5"/>
        <v>0</v>
      </c>
      <c r="N173" s="170">
        <f t="shared" si="4"/>
        <v>758.625</v>
      </c>
      <c r="O173" s="134"/>
      <c r="P173" s="134"/>
      <c r="Q173" s="134"/>
    </row>
    <row r="174" spans="1:17" x14ac:dyDescent="0.25">
      <c r="A174" s="145" t="s">
        <v>447</v>
      </c>
      <c r="B174" s="168">
        <f t="shared" si="5"/>
        <v>0</v>
      </c>
      <c r="C174" s="169">
        <f t="shared" si="5"/>
        <v>3</v>
      </c>
      <c r="D174" s="169">
        <f t="shared" si="5"/>
        <v>6</v>
      </c>
      <c r="E174" s="169">
        <f t="shared" si="5"/>
        <v>33</v>
      </c>
      <c r="F174" s="169">
        <f t="shared" si="5"/>
        <v>95.625</v>
      </c>
      <c r="G174" s="169">
        <f t="shared" si="5"/>
        <v>114.75</v>
      </c>
      <c r="H174" s="169">
        <f t="shared" si="5"/>
        <v>130.5</v>
      </c>
      <c r="I174" s="169">
        <f t="shared" si="5"/>
        <v>147</v>
      </c>
      <c r="J174" s="169">
        <f t="shared" si="5"/>
        <v>136.125</v>
      </c>
      <c r="K174" s="169">
        <f t="shared" si="5"/>
        <v>79.875</v>
      </c>
      <c r="L174" s="169">
        <f t="shared" si="5"/>
        <v>24</v>
      </c>
      <c r="M174" s="169">
        <f t="shared" si="5"/>
        <v>2.25</v>
      </c>
      <c r="N174" s="170">
        <f t="shared" si="4"/>
        <v>772.125</v>
      </c>
      <c r="O174" s="134"/>
      <c r="P174" s="134"/>
      <c r="Q174" s="134"/>
    </row>
    <row r="175" spans="1:17" x14ac:dyDescent="0.25">
      <c r="A175" s="145" t="s">
        <v>448</v>
      </c>
      <c r="B175" s="168">
        <f t="shared" si="5"/>
        <v>0</v>
      </c>
      <c r="C175" s="169">
        <f t="shared" si="5"/>
        <v>7.875</v>
      </c>
      <c r="D175" s="169">
        <f t="shared" si="5"/>
        <v>17.25</v>
      </c>
      <c r="E175" s="169">
        <f t="shared" si="5"/>
        <v>51.75</v>
      </c>
      <c r="F175" s="169">
        <f t="shared" si="5"/>
        <v>120.375</v>
      </c>
      <c r="G175" s="169">
        <f t="shared" si="5"/>
        <v>239.25</v>
      </c>
      <c r="H175" s="169">
        <f t="shared" si="5"/>
        <v>253.5</v>
      </c>
      <c r="I175" s="169">
        <f t="shared" si="5"/>
        <v>196.5</v>
      </c>
      <c r="J175" s="169">
        <f t="shared" si="5"/>
        <v>60.75</v>
      </c>
      <c r="K175" s="169">
        <f t="shared" si="5"/>
        <v>30.375</v>
      </c>
      <c r="L175" s="169">
        <f t="shared" si="5"/>
        <v>12.75</v>
      </c>
      <c r="M175" s="169">
        <f t="shared" si="5"/>
        <v>0</v>
      </c>
      <c r="N175" s="170">
        <f t="shared" si="4"/>
        <v>990.375</v>
      </c>
      <c r="O175" s="134"/>
      <c r="P175" s="134"/>
      <c r="Q175" s="134"/>
    </row>
    <row r="176" spans="1:17" x14ac:dyDescent="0.25">
      <c r="A176" s="145" t="s">
        <v>449</v>
      </c>
      <c r="B176" s="168">
        <f t="shared" si="5"/>
        <v>0</v>
      </c>
      <c r="C176" s="169">
        <f t="shared" si="5"/>
        <v>0</v>
      </c>
      <c r="D176" s="169">
        <f t="shared" si="5"/>
        <v>0</v>
      </c>
      <c r="E176" s="169">
        <f t="shared" si="5"/>
        <v>23.625</v>
      </c>
      <c r="F176" s="169">
        <f t="shared" si="5"/>
        <v>74.625</v>
      </c>
      <c r="G176" s="169">
        <f t="shared" si="5"/>
        <v>84</v>
      </c>
      <c r="H176" s="169">
        <f t="shared" si="5"/>
        <v>110.25</v>
      </c>
      <c r="I176" s="169">
        <f t="shared" si="5"/>
        <v>110.25</v>
      </c>
      <c r="J176" s="169">
        <f t="shared" si="5"/>
        <v>49.875</v>
      </c>
      <c r="K176" s="169">
        <f t="shared" si="5"/>
        <v>26.25</v>
      </c>
      <c r="L176" s="169">
        <f t="shared" si="5"/>
        <v>3</v>
      </c>
      <c r="M176" s="169">
        <f t="shared" si="5"/>
        <v>0</v>
      </c>
      <c r="N176" s="170">
        <f t="shared" si="4"/>
        <v>481.875</v>
      </c>
      <c r="O176" s="134"/>
      <c r="P176" s="134"/>
      <c r="Q176" s="134"/>
    </row>
    <row r="177" spans="1:17" x14ac:dyDescent="0.25">
      <c r="A177" s="145" t="s">
        <v>450</v>
      </c>
      <c r="B177" s="168">
        <f t="shared" si="5"/>
        <v>0</v>
      </c>
      <c r="C177" s="169">
        <f t="shared" si="5"/>
        <v>0</v>
      </c>
      <c r="D177" s="169">
        <f t="shared" si="5"/>
        <v>0.375</v>
      </c>
      <c r="E177" s="169">
        <f t="shared" si="5"/>
        <v>37.5</v>
      </c>
      <c r="F177" s="169">
        <f t="shared" si="5"/>
        <v>65.25</v>
      </c>
      <c r="G177" s="169">
        <f t="shared" si="5"/>
        <v>109.125</v>
      </c>
      <c r="H177" s="169">
        <f t="shared" si="5"/>
        <v>148.125</v>
      </c>
      <c r="I177" s="169">
        <f t="shared" si="5"/>
        <v>187.125</v>
      </c>
      <c r="J177" s="169">
        <f t="shared" si="5"/>
        <v>107.25</v>
      </c>
      <c r="K177" s="169">
        <f t="shared" si="5"/>
        <v>59.25</v>
      </c>
      <c r="L177" s="169">
        <f t="shared" si="5"/>
        <v>2.25</v>
      </c>
      <c r="M177" s="169">
        <f t="shared" si="5"/>
        <v>0</v>
      </c>
      <c r="N177" s="170">
        <f t="shared" si="4"/>
        <v>716.25</v>
      </c>
      <c r="O177" s="134"/>
      <c r="P177" s="134"/>
      <c r="Q177" s="134"/>
    </row>
    <row r="178" spans="1:17" x14ac:dyDescent="0.25">
      <c r="A178" s="145" t="s">
        <v>451</v>
      </c>
      <c r="B178" s="168">
        <f t="shared" ref="B178:M193" si="6">IF(B37/B107&gt;5,(B37-B107*5)*0.75,0)</f>
        <v>1.5</v>
      </c>
      <c r="C178" s="169">
        <f t="shared" si="6"/>
        <v>1.5</v>
      </c>
      <c r="D178" s="169">
        <f t="shared" si="6"/>
        <v>1.5</v>
      </c>
      <c r="E178" s="169">
        <f t="shared" si="6"/>
        <v>19.5</v>
      </c>
      <c r="F178" s="169">
        <f t="shared" si="6"/>
        <v>77.625</v>
      </c>
      <c r="G178" s="169">
        <f t="shared" si="6"/>
        <v>60.375</v>
      </c>
      <c r="H178" s="169">
        <f t="shared" si="6"/>
        <v>61.125</v>
      </c>
      <c r="I178" s="169">
        <f t="shared" si="6"/>
        <v>61.875</v>
      </c>
      <c r="J178" s="169">
        <f t="shared" si="6"/>
        <v>113.25</v>
      </c>
      <c r="K178" s="169">
        <f t="shared" si="6"/>
        <v>158.625</v>
      </c>
      <c r="L178" s="169">
        <f t="shared" si="6"/>
        <v>66</v>
      </c>
      <c r="M178" s="169">
        <f t="shared" si="6"/>
        <v>11.25</v>
      </c>
      <c r="N178" s="170">
        <f t="shared" si="4"/>
        <v>634.125</v>
      </c>
      <c r="O178" s="134"/>
      <c r="P178" s="134"/>
      <c r="Q178" s="134"/>
    </row>
    <row r="179" spans="1:17" x14ac:dyDescent="0.25">
      <c r="A179" s="145" t="s">
        <v>452</v>
      </c>
      <c r="B179" s="168">
        <f t="shared" si="6"/>
        <v>0</v>
      </c>
      <c r="C179" s="169">
        <f t="shared" si="6"/>
        <v>0</v>
      </c>
      <c r="D179" s="169">
        <f t="shared" si="6"/>
        <v>0.75</v>
      </c>
      <c r="E179" s="169">
        <f t="shared" si="6"/>
        <v>14.25</v>
      </c>
      <c r="F179" s="169">
        <f t="shared" si="6"/>
        <v>55.125</v>
      </c>
      <c r="G179" s="169">
        <f t="shared" si="6"/>
        <v>81.75</v>
      </c>
      <c r="H179" s="169">
        <f t="shared" si="6"/>
        <v>59.625</v>
      </c>
      <c r="I179" s="169">
        <f t="shared" si="6"/>
        <v>68.25</v>
      </c>
      <c r="J179" s="169">
        <f t="shared" si="6"/>
        <v>97.125</v>
      </c>
      <c r="K179" s="169">
        <f t="shared" si="6"/>
        <v>124.5</v>
      </c>
      <c r="L179" s="169">
        <f t="shared" si="6"/>
        <v>31.125</v>
      </c>
      <c r="M179" s="169">
        <f t="shared" si="6"/>
        <v>4.5</v>
      </c>
      <c r="N179" s="170">
        <f t="shared" si="4"/>
        <v>537</v>
      </c>
      <c r="O179" s="134"/>
      <c r="P179" s="134"/>
      <c r="Q179" s="134"/>
    </row>
    <row r="180" spans="1:17" x14ac:dyDescent="0.25">
      <c r="A180" s="145" t="s">
        <v>453</v>
      </c>
      <c r="B180" s="168">
        <f t="shared" si="6"/>
        <v>0</v>
      </c>
      <c r="C180" s="169">
        <f t="shared" si="6"/>
        <v>0</v>
      </c>
      <c r="D180" s="169">
        <f t="shared" si="6"/>
        <v>0</v>
      </c>
      <c r="E180" s="169">
        <f t="shared" si="6"/>
        <v>19.5</v>
      </c>
      <c r="F180" s="169">
        <f t="shared" si="6"/>
        <v>87.375</v>
      </c>
      <c r="G180" s="169">
        <f t="shared" si="6"/>
        <v>106.125</v>
      </c>
      <c r="H180" s="169">
        <f t="shared" si="6"/>
        <v>126</v>
      </c>
      <c r="I180" s="169">
        <f t="shared" si="6"/>
        <v>164.25</v>
      </c>
      <c r="J180" s="169">
        <f t="shared" si="6"/>
        <v>187.875</v>
      </c>
      <c r="K180" s="169">
        <f t="shared" si="6"/>
        <v>124.875</v>
      </c>
      <c r="L180" s="169">
        <f t="shared" si="6"/>
        <v>19.875</v>
      </c>
      <c r="M180" s="169">
        <f t="shared" si="6"/>
        <v>0</v>
      </c>
      <c r="N180" s="170">
        <f t="shared" si="4"/>
        <v>835.875</v>
      </c>
      <c r="O180" s="134"/>
      <c r="P180" s="134"/>
      <c r="Q180" s="134"/>
    </row>
    <row r="181" spans="1:17" x14ac:dyDescent="0.25">
      <c r="A181" s="145" t="s">
        <v>454</v>
      </c>
      <c r="B181" s="168">
        <f t="shared" si="6"/>
        <v>0</v>
      </c>
      <c r="C181" s="169">
        <f t="shared" si="6"/>
        <v>0</v>
      </c>
      <c r="D181" s="169">
        <f t="shared" si="6"/>
        <v>10.875</v>
      </c>
      <c r="E181" s="169">
        <f t="shared" si="6"/>
        <v>10.125</v>
      </c>
      <c r="F181" s="169">
        <f t="shared" si="6"/>
        <v>20.625</v>
      </c>
      <c r="G181" s="169">
        <f t="shared" si="6"/>
        <v>9.75</v>
      </c>
      <c r="H181" s="169">
        <f t="shared" si="6"/>
        <v>0</v>
      </c>
      <c r="I181" s="169">
        <f t="shared" si="6"/>
        <v>1.5</v>
      </c>
      <c r="J181" s="169">
        <f t="shared" si="6"/>
        <v>62.25</v>
      </c>
      <c r="K181" s="169">
        <f t="shared" si="6"/>
        <v>160.125</v>
      </c>
      <c r="L181" s="169">
        <f t="shared" si="6"/>
        <v>183</v>
      </c>
      <c r="M181" s="169">
        <f t="shared" si="6"/>
        <v>62.25</v>
      </c>
      <c r="N181" s="170">
        <f t="shared" si="4"/>
        <v>520.5</v>
      </c>
      <c r="O181" s="134"/>
      <c r="P181" s="134"/>
      <c r="Q181" s="134"/>
    </row>
    <row r="182" spans="1:17" x14ac:dyDescent="0.25">
      <c r="A182" s="145" t="s">
        <v>455</v>
      </c>
      <c r="B182" s="168">
        <f t="shared" si="6"/>
        <v>0</v>
      </c>
      <c r="C182" s="169">
        <f t="shared" si="6"/>
        <v>0</v>
      </c>
      <c r="D182" s="169">
        <f t="shared" si="6"/>
        <v>0</v>
      </c>
      <c r="E182" s="169">
        <f t="shared" si="6"/>
        <v>10.125</v>
      </c>
      <c r="F182" s="169">
        <f t="shared" si="6"/>
        <v>76.5</v>
      </c>
      <c r="G182" s="169">
        <f t="shared" si="6"/>
        <v>122.25</v>
      </c>
      <c r="H182" s="169">
        <f t="shared" si="6"/>
        <v>119.625</v>
      </c>
      <c r="I182" s="169">
        <f t="shared" si="6"/>
        <v>179.25</v>
      </c>
      <c r="J182" s="169">
        <f t="shared" si="6"/>
        <v>220.125</v>
      </c>
      <c r="K182" s="169">
        <f t="shared" si="6"/>
        <v>137.625</v>
      </c>
      <c r="L182" s="169">
        <f t="shared" si="6"/>
        <v>21.375</v>
      </c>
      <c r="M182" s="169">
        <f t="shared" si="6"/>
        <v>1.125</v>
      </c>
      <c r="N182" s="170">
        <f t="shared" si="4"/>
        <v>888</v>
      </c>
      <c r="O182" s="134"/>
      <c r="P182" s="134"/>
      <c r="Q182" s="134"/>
    </row>
    <row r="183" spans="1:17" x14ac:dyDescent="0.25">
      <c r="A183" s="145" t="s">
        <v>456</v>
      </c>
      <c r="B183" s="168">
        <f t="shared" si="6"/>
        <v>0</v>
      </c>
      <c r="C183" s="169">
        <f t="shared" si="6"/>
        <v>0</v>
      </c>
      <c r="D183" s="169">
        <f t="shared" si="6"/>
        <v>1.875</v>
      </c>
      <c r="E183" s="169">
        <f t="shared" si="6"/>
        <v>9.375</v>
      </c>
      <c r="F183" s="169">
        <f t="shared" si="6"/>
        <v>54.375</v>
      </c>
      <c r="G183" s="169">
        <f t="shared" si="6"/>
        <v>47.25</v>
      </c>
      <c r="H183" s="169">
        <f t="shared" si="6"/>
        <v>62.625</v>
      </c>
      <c r="I183" s="169">
        <f t="shared" si="6"/>
        <v>54</v>
      </c>
      <c r="J183" s="169">
        <f t="shared" si="6"/>
        <v>79.5</v>
      </c>
      <c r="K183" s="169">
        <f t="shared" si="6"/>
        <v>65.625</v>
      </c>
      <c r="L183" s="169">
        <f t="shared" si="6"/>
        <v>17.25</v>
      </c>
      <c r="M183" s="169">
        <f t="shared" si="6"/>
        <v>3.375</v>
      </c>
      <c r="N183" s="170">
        <f t="shared" si="4"/>
        <v>395.25</v>
      </c>
      <c r="O183" s="134"/>
      <c r="P183" s="134"/>
      <c r="Q183" s="134"/>
    </row>
    <row r="184" spans="1:17" x14ac:dyDescent="0.25">
      <c r="A184" s="145" t="s">
        <v>457</v>
      </c>
      <c r="B184" s="168">
        <f t="shared" si="6"/>
        <v>0</v>
      </c>
      <c r="C184" s="169">
        <f t="shared" si="6"/>
        <v>0</v>
      </c>
      <c r="D184" s="169">
        <f t="shared" si="6"/>
        <v>0</v>
      </c>
      <c r="E184" s="169">
        <f t="shared" si="6"/>
        <v>17.625</v>
      </c>
      <c r="F184" s="169">
        <f t="shared" si="6"/>
        <v>105.375</v>
      </c>
      <c r="G184" s="169">
        <f t="shared" si="6"/>
        <v>130.5</v>
      </c>
      <c r="H184" s="169">
        <f t="shared" si="6"/>
        <v>118.875</v>
      </c>
      <c r="I184" s="169">
        <f t="shared" si="6"/>
        <v>204</v>
      </c>
      <c r="J184" s="169">
        <f t="shared" si="6"/>
        <v>138</v>
      </c>
      <c r="K184" s="169">
        <f t="shared" si="6"/>
        <v>76.5</v>
      </c>
      <c r="L184" s="169">
        <f t="shared" si="6"/>
        <v>5.625</v>
      </c>
      <c r="M184" s="169">
        <f t="shared" si="6"/>
        <v>0</v>
      </c>
      <c r="N184" s="170">
        <f t="shared" si="4"/>
        <v>796.5</v>
      </c>
      <c r="O184" s="134"/>
      <c r="P184" s="134"/>
      <c r="Q184" s="134"/>
    </row>
    <row r="185" spans="1:17" x14ac:dyDescent="0.25">
      <c r="A185" s="145" t="s">
        <v>458</v>
      </c>
      <c r="B185" s="168">
        <f t="shared" si="6"/>
        <v>5.625</v>
      </c>
      <c r="C185" s="169">
        <f t="shared" si="6"/>
        <v>7.125</v>
      </c>
      <c r="D185" s="169">
        <f t="shared" si="6"/>
        <v>19.125</v>
      </c>
      <c r="E185" s="169">
        <f t="shared" si="6"/>
        <v>68.625</v>
      </c>
      <c r="F185" s="169">
        <f t="shared" si="6"/>
        <v>150.375</v>
      </c>
      <c r="G185" s="169">
        <f t="shared" si="6"/>
        <v>228</v>
      </c>
      <c r="H185" s="169">
        <f t="shared" si="6"/>
        <v>229.125</v>
      </c>
      <c r="I185" s="169">
        <f t="shared" si="6"/>
        <v>318</v>
      </c>
      <c r="J185" s="169">
        <f t="shared" si="6"/>
        <v>270.375</v>
      </c>
      <c r="K185" s="169">
        <f t="shared" si="6"/>
        <v>209.25</v>
      </c>
      <c r="L185" s="169">
        <f t="shared" si="6"/>
        <v>76.875</v>
      </c>
      <c r="M185" s="169">
        <f t="shared" si="6"/>
        <v>21</v>
      </c>
      <c r="N185" s="170">
        <f t="shared" si="4"/>
        <v>1603.5</v>
      </c>
      <c r="O185" s="134"/>
      <c r="P185" s="134"/>
      <c r="Q185" s="134"/>
    </row>
    <row r="186" spans="1:17" x14ac:dyDescent="0.25">
      <c r="A186" s="145" t="s">
        <v>459</v>
      </c>
      <c r="B186" s="168">
        <f t="shared" si="6"/>
        <v>3</v>
      </c>
      <c r="C186" s="169">
        <f t="shared" si="6"/>
        <v>5.625</v>
      </c>
      <c r="D186" s="169">
        <f t="shared" si="6"/>
        <v>13.125</v>
      </c>
      <c r="E186" s="169">
        <f t="shared" si="6"/>
        <v>50.25</v>
      </c>
      <c r="F186" s="169">
        <f t="shared" si="6"/>
        <v>146.625</v>
      </c>
      <c r="G186" s="169">
        <f t="shared" si="6"/>
        <v>205.5</v>
      </c>
      <c r="H186" s="169">
        <f t="shared" si="6"/>
        <v>211.5</v>
      </c>
      <c r="I186" s="169">
        <f t="shared" si="6"/>
        <v>254.625</v>
      </c>
      <c r="J186" s="169">
        <f t="shared" si="6"/>
        <v>260.25</v>
      </c>
      <c r="K186" s="169">
        <f t="shared" si="6"/>
        <v>163.125</v>
      </c>
      <c r="L186" s="169">
        <f t="shared" si="6"/>
        <v>50.25</v>
      </c>
      <c r="M186" s="169">
        <f t="shared" si="6"/>
        <v>8.625</v>
      </c>
      <c r="N186" s="170">
        <f t="shared" si="4"/>
        <v>1372.5</v>
      </c>
      <c r="O186" s="134"/>
      <c r="P186" s="134"/>
      <c r="Q186" s="134"/>
    </row>
    <row r="187" spans="1:17" x14ac:dyDescent="0.25">
      <c r="A187" s="145" t="s">
        <v>460</v>
      </c>
      <c r="B187" s="168">
        <f t="shared" si="6"/>
        <v>0</v>
      </c>
      <c r="C187" s="169">
        <f t="shared" si="6"/>
        <v>1.125</v>
      </c>
      <c r="D187" s="169">
        <f t="shared" si="6"/>
        <v>3.75</v>
      </c>
      <c r="E187" s="169">
        <f t="shared" si="6"/>
        <v>39</v>
      </c>
      <c r="F187" s="169">
        <f t="shared" si="6"/>
        <v>114.375</v>
      </c>
      <c r="G187" s="169">
        <f t="shared" si="6"/>
        <v>171.375</v>
      </c>
      <c r="H187" s="169">
        <f t="shared" si="6"/>
        <v>195</v>
      </c>
      <c r="I187" s="169">
        <f t="shared" si="6"/>
        <v>254.25</v>
      </c>
      <c r="J187" s="169">
        <f t="shared" si="6"/>
        <v>176.625</v>
      </c>
      <c r="K187" s="169">
        <f t="shared" si="6"/>
        <v>80.625</v>
      </c>
      <c r="L187" s="169">
        <f t="shared" si="6"/>
        <v>20.25</v>
      </c>
      <c r="M187" s="169">
        <f t="shared" si="6"/>
        <v>0</v>
      </c>
      <c r="N187" s="170">
        <f t="shared" si="4"/>
        <v>1056.375</v>
      </c>
      <c r="O187" s="134"/>
      <c r="P187" s="134"/>
      <c r="Q187" s="134"/>
    </row>
    <row r="188" spans="1:17" x14ac:dyDescent="0.25">
      <c r="A188" s="145" t="s">
        <v>461</v>
      </c>
      <c r="B188" s="168">
        <f t="shared" si="6"/>
        <v>36.75</v>
      </c>
      <c r="C188" s="169">
        <f t="shared" si="6"/>
        <v>0</v>
      </c>
      <c r="D188" s="169">
        <f t="shared" si="6"/>
        <v>7.875</v>
      </c>
      <c r="E188" s="169">
        <f t="shared" si="6"/>
        <v>15</v>
      </c>
      <c r="F188" s="169">
        <f t="shared" si="6"/>
        <v>37.875</v>
      </c>
      <c r="G188" s="169">
        <f t="shared" si="6"/>
        <v>49.125</v>
      </c>
      <c r="H188" s="169">
        <f t="shared" si="6"/>
        <v>31.875</v>
      </c>
      <c r="I188" s="169">
        <f t="shared" si="6"/>
        <v>48.75</v>
      </c>
      <c r="J188" s="169">
        <f t="shared" si="6"/>
        <v>165.75</v>
      </c>
      <c r="K188" s="169">
        <f t="shared" si="6"/>
        <v>401.625</v>
      </c>
      <c r="L188" s="169">
        <f t="shared" si="6"/>
        <v>339</v>
      </c>
      <c r="M188" s="169">
        <f t="shared" si="6"/>
        <v>132.375</v>
      </c>
      <c r="N188" s="170">
        <f t="shared" si="4"/>
        <v>1266</v>
      </c>
      <c r="O188" s="134"/>
      <c r="P188" s="134"/>
      <c r="Q188" s="134"/>
    </row>
    <row r="189" spans="1:17" x14ac:dyDescent="0.25">
      <c r="A189" s="145" t="s">
        <v>462</v>
      </c>
      <c r="B189" s="168">
        <f t="shared" si="6"/>
        <v>0</v>
      </c>
      <c r="C189" s="169">
        <f t="shared" si="6"/>
        <v>0</v>
      </c>
      <c r="D189" s="169">
        <f t="shared" si="6"/>
        <v>1.875</v>
      </c>
      <c r="E189" s="169">
        <f t="shared" si="6"/>
        <v>7.875</v>
      </c>
      <c r="F189" s="169">
        <f t="shared" si="6"/>
        <v>30.375</v>
      </c>
      <c r="G189" s="169">
        <f t="shared" si="6"/>
        <v>19.875</v>
      </c>
      <c r="H189" s="169">
        <f t="shared" si="6"/>
        <v>1.5</v>
      </c>
      <c r="I189" s="169">
        <f t="shared" si="6"/>
        <v>14.25</v>
      </c>
      <c r="J189" s="169">
        <f t="shared" si="6"/>
        <v>110.25</v>
      </c>
      <c r="K189" s="169">
        <f t="shared" si="6"/>
        <v>334.125</v>
      </c>
      <c r="L189" s="169">
        <f t="shared" si="6"/>
        <v>248.25</v>
      </c>
      <c r="M189" s="169">
        <f t="shared" si="6"/>
        <v>77.625</v>
      </c>
      <c r="N189" s="170">
        <f t="shared" si="4"/>
        <v>846</v>
      </c>
      <c r="O189" s="134"/>
      <c r="P189" s="134"/>
      <c r="Q189" s="134"/>
    </row>
    <row r="190" spans="1:17" x14ac:dyDescent="0.25">
      <c r="A190" s="145" t="s">
        <v>463</v>
      </c>
      <c r="B190" s="168">
        <f t="shared" si="6"/>
        <v>2.25</v>
      </c>
      <c r="C190" s="169">
        <f t="shared" si="6"/>
        <v>0.375</v>
      </c>
      <c r="D190" s="169">
        <f t="shared" si="6"/>
        <v>9.75</v>
      </c>
      <c r="E190" s="169">
        <f t="shared" si="6"/>
        <v>43.125</v>
      </c>
      <c r="F190" s="169">
        <f t="shared" si="6"/>
        <v>124.875</v>
      </c>
      <c r="G190" s="169">
        <f t="shared" si="6"/>
        <v>132.75</v>
      </c>
      <c r="H190" s="169">
        <f t="shared" si="6"/>
        <v>155.625</v>
      </c>
      <c r="I190" s="169">
        <f t="shared" si="6"/>
        <v>193.875</v>
      </c>
      <c r="J190" s="169">
        <f t="shared" si="6"/>
        <v>150.75</v>
      </c>
      <c r="K190" s="169">
        <f t="shared" si="6"/>
        <v>142.125</v>
      </c>
      <c r="L190" s="169">
        <f t="shared" si="6"/>
        <v>71.25</v>
      </c>
      <c r="M190" s="169">
        <f t="shared" si="6"/>
        <v>11.25</v>
      </c>
      <c r="N190" s="170">
        <f t="shared" si="4"/>
        <v>1038</v>
      </c>
      <c r="O190" s="134"/>
      <c r="P190" s="134"/>
      <c r="Q190" s="134"/>
    </row>
    <row r="191" spans="1:17" x14ac:dyDescent="0.25">
      <c r="A191" s="145" t="s">
        <v>464</v>
      </c>
      <c r="B191" s="168">
        <f t="shared" si="6"/>
        <v>0</v>
      </c>
      <c r="C191" s="169">
        <f t="shared" si="6"/>
        <v>0</v>
      </c>
      <c r="D191" s="169">
        <f t="shared" si="6"/>
        <v>21.375</v>
      </c>
      <c r="E191" s="169">
        <f t="shared" si="6"/>
        <v>92.25</v>
      </c>
      <c r="F191" s="169">
        <f t="shared" si="6"/>
        <v>175.125</v>
      </c>
      <c r="G191" s="169">
        <f t="shared" si="6"/>
        <v>216.375</v>
      </c>
      <c r="H191" s="169">
        <f t="shared" si="6"/>
        <v>252.375</v>
      </c>
      <c r="I191" s="169">
        <f t="shared" si="6"/>
        <v>248.625</v>
      </c>
      <c r="J191" s="169">
        <f t="shared" si="6"/>
        <v>159.75</v>
      </c>
      <c r="K191" s="169">
        <f t="shared" si="6"/>
        <v>92.625</v>
      </c>
      <c r="L191" s="169">
        <f t="shared" si="6"/>
        <v>32.25</v>
      </c>
      <c r="M191" s="169">
        <f t="shared" si="6"/>
        <v>1.125</v>
      </c>
      <c r="N191" s="170">
        <f t="shared" si="4"/>
        <v>1291.875</v>
      </c>
      <c r="O191" s="134"/>
      <c r="P191" s="134"/>
      <c r="Q191" s="134"/>
    </row>
    <row r="192" spans="1:17" x14ac:dyDescent="0.25">
      <c r="A192" s="145" t="s">
        <v>465</v>
      </c>
      <c r="B192" s="168">
        <f t="shared" si="6"/>
        <v>0</v>
      </c>
      <c r="C192" s="169">
        <f t="shared" si="6"/>
        <v>0</v>
      </c>
      <c r="D192" s="169">
        <f t="shared" si="6"/>
        <v>2.25</v>
      </c>
      <c r="E192" s="169">
        <f t="shared" si="6"/>
        <v>23.625</v>
      </c>
      <c r="F192" s="169">
        <f t="shared" si="6"/>
        <v>104.25</v>
      </c>
      <c r="G192" s="169">
        <f t="shared" si="6"/>
        <v>122.25</v>
      </c>
      <c r="H192" s="169">
        <f t="shared" si="6"/>
        <v>113.25</v>
      </c>
      <c r="I192" s="169">
        <f t="shared" si="6"/>
        <v>135.375</v>
      </c>
      <c r="J192" s="169">
        <f t="shared" si="6"/>
        <v>124.125</v>
      </c>
      <c r="K192" s="169">
        <f t="shared" si="6"/>
        <v>151.875</v>
      </c>
      <c r="L192" s="169">
        <f t="shared" si="6"/>
        <v>58.5</v>
      </c>
      <c r="M192" s="169">
        <f t="shared" si="6"/>
        <v>4.125</v>
      </c>
      <c r="N192" s="170">
        <f t="shared" si="4"/>
        <v>839.625</v>
      </c>
      <c r="O192" s="134"/>
      <c r="P192" s="134"/>
      <c r="Q192" s="134"/>
    </row>
    <row r="193" spans="1:17" x14ac:dyDescent="0.25">
      <c r="A193" s="145" t="s">
        <v>466</v>
      </c>
      <c r="B193" s="168">
        <f t="shared" si="6"/>
        <v>0</v>
      </c>
      <c r="C193" s="169">
        <f t="shared" si="6"/>
        <v>1.125</v>
      </c>
      <c r="D193" s="169">
        <f t="shared" si="6"/>
        <v>13.125</v>
      </c>
      <c r="E193" s="169">
        <f t="shared" si="6"/>
        <v>39</v>
      </c>
      <c r="F193" s="169">
        <f t="shared" si="6"/>
        <v>76.125</v>
      </c>
      <c r="G193" s="169">
        <f t="shared" si="6"/>
        <v>118.125</v>
      </c>
      <c r="H193" s="169">
        <f t="shared" si="6"/>
        <v>118.125</v>
      </c>
      <c r="I193" s="169">
        <f t="shared" si="6"/>
        <v>126</v>
      </c>
      <c r="J193" s="169">
        <f t="shared" si="6"/>
        <v>51</v>
      </c>
      <c r="K193" s="169">
        <f t="shared" si="6"/>
        <v>16.5</v>
      </c>
      <c r="L193" s="169">
        <f t="shared" si="6"/>
        <v>9</v>
      </c>
      <c r="M193" s="169">
        <f t="shared" si="6"/>
        <v>0</v>
      </c>
      <c r="N193" s="170">
        <f t="shared" si="4"/>
        <v>568.125</v>
      </c>
      <c r="O193" s="134"/>
      <c r="P193" s="134"/>
      <c r="Q193" s="134"/>
    </row>
    <row r="194" spans="1:17" x14ac:dyDescent="0.25">
      <c r="A194" s="145" t="s">
        <v>467</v>
      </c>
      <c r="B194" s="168">
        <f t="shared" ref="B194:M209" si="7">IF(B53/B123&gt;5,(B53-B123*5)*0.75,0)</f>
        <v>0</v>
      </c>
      <c r="C194" s="169">
        <f t="shared" si="7"/>
        <v>0</v>
      </c>
      <c r="D194" s="169">
        <f t="shared" si="7"/>
        <v>0</v>
      </c>
      <c r="E194" s="169">
        <f t="shared" si="7"/>
        <v>26.625</v>
      </c>
      <c r="F194" s="169">
        <f t="shared" si="7"/>
        <v>111.375</v>
      </c>
      <c r="G194" s="169">
        <f t="shared" si="7"/>
        <v>152.25</v>
      </c>
      <c r="H194" s="169">
        <f t="shared" si="7"/>
        <v>184.875</v>
      </c>
      <c r="I194" s="169">
        <f t="shared" si="7"/>
        <v>161.25</v>
      </c>
      <c r="J194" s="169">
        <f t="shared" si="7"/>
        <v>122.625</v>
      </c>
      <c r="K194" s="169">
        <f t="shared" si="7"/>
        <v>91.125</v>
      </c>
      <c r="L194" s="169">
        <f t="shared" si="7"/>
        <v>22.5</v>
      </c>
      <c r="M194" s="169">
        <f t="shared" si="7"/>
        <v>0</v>
      </c>
      <c r="N194" s="170">
        <f t="shared" si="4"/>
        <v>872.625</v>
      </c>
      <c r="O194" s="134"/>
      <c r="P194" s="134"/>
      <c r="Q194" s="134"/>
    </row>
    <row r="195" spans="1:17" x14ac:dyDescent="0.25">
      <c r="A195" s="145" t="s">
        <v>468</v>
      </c>
      <c r="B195" s="168">
        <f t="shared" si="7"/>
        <v>0</v>
      </c>
      <c r="C195" s="169">
        <f t="shared" si="7"/>
        <v>0</v>
      </c>
      <c r="D195" s="169">
        <f t="shared" si="7"/>
        <v>0</v>
      </c>
      <c r="E195" s="169">
        <f t="shared" si="7"/>
        <v>32.625</v>
      </c>
      <c r="F195" s="169">
        <f t="shared" si="7"/>
        <v>108.75</v>
      </c>
      <c r="G195" s="169">
        <f t="shared" si="7"/>
        <v>212.25</v>
      </c>
      <c r="H195" s="169">
        <f t="shared" si="7"/>
        <v>249.75</v>
      </c>
      <c r="I195" s="169">
        <f t="shared" si="7"/>
        <v>265.875</v>
      </c>
      <c r="J195" s="169">
        <f t="shared" si="7"/>
        <v>184.875</v>
      </c>
      <c r="K195" s="169">
        <f t="shared" si="7"/>
        <v>118.5</v>
      </c>
      <c r="L195" s="169">
        <f t="shared" si="7"/>
        <v>32.25</v>
      </c>
      <c r="M195" s="169">
        <f t="shared" si="7"/>
        <v>0</v>
      </c>
      <c r="N195" s="170">
        <f t="shared" si="4"/>
        <v>1204.875</v>
      </c>
      <c r="O195" s="134"/>
      <c r="P195" s="134"/>
      <c r="Q195" s="134"/>
    </row>
    <row r="196" spans="1:17" x14ac:dyDescent="0.25">
      <c r="A196" s="145" t="s">
        <v>403</v>
      </c>
      <c r="B196" s="168">
        <f t="shared" si="7"/>
        <v>0</v>
      </c>
      <c r="C196" s="169">
        <f t="shared" si="7"/>
        <v>0</v>
      </c>
      <c r="D196" s="169">
        <f t="shared" si="7"/>
        <v>2.625</v>
      </c>
      <c r="E196" s="169">
        <f t="shared" si="7"/>
        <v>18</v>
      </c>
      <c r="F196" s="169">
        <f t="shared" si="7"/>
        <v>88.5</v>
      </c>
      <c r="G196" s="169">
        <f t="shared" si="7"/>
        <v>137.25</v>
      </c>
      <c r="H196" s="169">
        <f t="shared" si="7"/>
        <v>144.375</v>
      </c>
      <c r="I196" s="169">
        <f t="shared" si="7"/>
        <v>126.75</v>
      </c>
      <c r="J196" s="169">
        <f t="shared" si="7"/>
        <v>141</v>
      </c>
      <c r="K196" s="169">
        <f t="shared" si="7"/>
        <v>139.875</v>
      </c>
      <c r="L196" s="169">
        <f t="shared" si="7"/>
        <v>55.875</v>
      </c>
      <c r="M196" s="169">
        <f t="shared" si="7"/>
        <v>0</v>
      </c>
      <c r="N196" s="170">
        <f t="shared" si="4"/>
        <v>854.25</v>
      </c>
      <c r="O196" s="134"/>
      <c r="P196" s="134"/>
      <c r="Q196" s="134"/>
    </row>
    <row r="197" spans="1:17" x14ac:dyDescent="0.25">
      <c r="A197" s="145" t="s">
        <v>469</v>
      </c>
      <c r="B197" s="168">
        <f t="shared" si="7"/>
        <v>3.375</v>
      </c>
      <c r="C197" s="169">
        <f t="shared" si="7"/>
        <v>2.25</v>
      </c>
      <c r="D197" s="169">
        <f t="shared" si="7"/>
        <v>7.5</v>
      </c>
      <c r="E197" s="169">
        <f t="shared" si="7"/>
        <v>50.25</v>
      </c>
      <c r="F197" s="169">
        <f t="shared" si="7"/>
        <v>92.25</v>
      </c>
      <c r="G197" s="169">
        <f t="shared" si="7"/>
        <v>121.875</v>
      </c>
      <c r="H197" s="169">
        <f t="shared" si="7"/>
        <v>111</v>
      </c>
      <c r="I197" s="169">
        <f t="shared" si="7"/>
        <v>94.5</v>
      </c>
      <c r="J197" s="169">
        <f t="shared" si="7"/>
        <v>176.25</v>
      </c>
      <c r="K197" s="169">
        <f t="shared" si="7"/>
        <v>155.625</v>
      </c>
      <c r="L197" s="169">
        <f t="shared" si="7"/>
        <v>60.75</v>
      </c>
      <c r="M197" s="169">
        <f t="shared" si="7"/>
        <v>21.75</v>
      </c>
      <c r="N197" s="170">
        <f t="shared" si="4"/>
        <v>897.375</v>
      </c>
      <c r="O197" s="134"/>
      <c r="P197" s="134"/>
      <c r="Q197" s="134"/>
    </row>
    <row r="198" spans="1:17" x14ac:dyDescent="0.25">
      <c r="A198" s="145" t="s">
        <v>470</v>
      </c>
      <c r="B198" s="168">
        <f t="shared" si="7"/>
        <v>0</v>
      </c>
      <c r="C198" s="169">
        <f t="shared" si="7"/>
        <v>0</v>
      </c>
      <c r="D198" s="169">
        <f t="shared" si="7"/>
        <v>0</v>
      </c>
      <c r="E198" s="169">
        <f t="shared" si="7"/>
        <v>12.75</v>
      </c>
      <c r="F198" s="169">
        <f t="shared" si="7"/>
        <v>76.125</v>
      </c>
      <c r="G198" s="169">
        <f t="shared" si="7"/>
        <v>102</v>
      </c>
      <c r="H198" s="169">
        <f t="shared" si="7"/>
        <v>109.875</v>
      </c>
      <c r="I198" s="169">
        <f t="shared" si="7"/>
        <v>165.375</v>
      </c>
      <c r="J198" s="169">
        <f t="shared" si="7"/>
        <v>181.125</v>
      </c>
      <c r="K198" s="169">
        <f t="shared" si="7"/>
        <v>121.5</v>
      </c>
      <c r="L198" s="169">
        <f t="shared" si="7"/>
        <v>19.125</v>
      </c>
      <c r="M198" s="169">
        <f t="shared" si="7"/>
        <v>0</v>
      </c>
      <c r="N198" s="170">
        <f t="shared" si="4"/>
        <v>787.875</v>
      </c>
      <c r="O198" s="134"/>
      <c r="P198" s="134"/>
      <c r="Q198" s="134"/>
    </row>
    <row r="199" spans="1:17" x14ac:dyDescent="0.25">
      <c r="A199" s="145" t="s">
        <v>471</v>
      </c>
      <c r="B199" s="168">
        <f t="shared" si="7"/>
        <v>0</v>
      </c>
      <c r="C199" s="169">
        <f t="shared" si="7"/>
        <v>0</v>
      </c>
      <c r="D199" s="169">
        <f t="shared" si="7"/>
        <v>0</v>
      </c>
      <c r="E199" s="169">
        <f t="shared" si="7"/>
        <v>25.125</v>
      </c>
      <c r="F199" s="169">
        <f t="shared" si="7"/>
        <v>116.625</v>
      </c>
      <c r="G199" s="169">
        <f t="shared" si="7"/>
        <v>189.75</v>
      </c>
      <c r="H199" s="169">
        <f t="shared" si="7"/>
        <v>241.125</v>
      </c>
      <c r="I199" s="169">
        <f t="shared" si="7"/>
        <v>192.375</v>
      </c>
      <c r="J199" s="169">
        <f t="shared" si="7"/>
        <v>127.125</v>
      </c>
      <c r="K199" s="169">
        <f t="shared" si="7"/>
        <v>69.375</v>
      </c>
      <c r="L199" s="169">
        <f t="shared" si="7"/>
        <v>9.375</v>
      </c>
      <c r="M199" s="169">
        <f t="shared" si="7"/>
        <v>0</v>
      </c>
      <c r="N199" s="170">
        <f t="shared" si="4"/>
        <v>970.875</v>
      </c>
      <c r="O199" s="134"/>
      <c r="P199" s="134"/>
      <c r="Q199" s="134"/>
    </row>
    <row r="200" spans="1:17" x14ac:dyDescent="0.25">
      <c r="A200" s="145" t="s">
        <v>472</v>
      </c>
      <c r="B200" s="168">
        <f t="shared" si="7"/>
        <v>0</v>
      </c>
      <c r="C200" s="169">
        <f t="shared" si="7"/>
        <v>0</v>
      </c>
      <c r="D200" s="169">
        <f t="shared" si="7"/>
        <v>0</v>
      </c>
      <c r="E200" s="169">
        <f t="shared" si="7"/>
        <v>0</v>
      </c>
      <c r="F200" s="169">
        <f t="shared" si="7"/>
        <v>57</v>
      </c>
      <c r="G200" s="169">
        <f t="shared" si="7"/>
        <v>98.25</v>
      </c>
      <c r="H200" s="169">
        <f t="shared" si="7"/>
        <v>99</v>
      </c>
      <c r="I200" s="169">
        <f t="shared" si="7"/>
        <v>149.625</v>
      </c>
      <c r="J200" s="169">
        <f t="shared" si="7"/>
        <v>249.75</v>
      </c>
      <c r="K200" s="169">
        <f t="shared" si="7"/>
        <v>168.75</v>
      </c>
      <c r="L200" s="169">
        <f t="shared" si="7"/>
        <v>35.25</v>
      </c>
      <c r="M200" s="169">
        <f t="shared" si="7"/>
        <v>0</v>
      </c>
      <c r="N200" s="170">
        <f t="shared" si="4"/>
        <v>857.625</v>
      </c>
      <c r="O200" s="134"/>
      <c r="P200" s="134"/>
      <c r="Q200" s="134"/>
    </row>
    <row r="201" spans="1:17" x14ac:dyDescent="0.25">
      <c r="A201" s="145" t="s">
        <v>473</v>
      </c>
      <c r="B201" s="168">
        <f t="shared" si="7"/>
        <v>28.125</v>
      </c>
      <c r="C201" s="169">
        <f t="shared" si="7"/>
        <v>13.875</v>
      </c>
      <c r="D201" s="169">
        <f t="shared" si="7"/>
        <v>8.625</v>
      </c>
      <c r="E201" s="169">
        <f t="shared" si="7"/>
        <v>10.875</v>
      </c>
      <c r="F201" s="169">
        <f t="shared" si="7"/>
        <v>34.875</v>
      </c>
      <c r="G201" s="169">
        <f t="shared" si="7"/>
        <v>113.625</v>
      </c>
      <c r="H201" s="169">
        <f t="shared" si="7"/>
        <v>108.375</v>
      </c>
      <c r="I201" s="169">
        <f t="shared" si="7"/>
        <v>104.25</v>
      </c>
      <c r="J201" s="169">
        <f t="shared" si="7"/>
        <v>118.875</v>
      </c>
      <c r="K201" s="169">
        <f t="shared" si="7"/>
        <v>136.875</v>
      </c>
      <c r="L201" s="169">
        <f t="shared" si="7"/>
        <v>219.75</v>
      </c>
      <c r="M201" s="169">
        <f t="shared" si="7"/>
        <v>194.625</v>
      </c>
      <c r="N201" s="170">
        <f t="shared" si="4"/>
        <v>1092.75</v>
      </c>
      <c r="O201" s="134"/>
      <c r="P201" s="134"/>
      <c r="Q201" s="134"/>
    </row>
    <row r="202" spans="1:17" x14ac:dyDescent="0.25">
      <c r="A202" s="145" t="s">
        <v>474</v>
      </c>
      <c r="B202" s="168">
        <f t="shared" si="7"/>
        <v>0</v>
      </c>
      <c r="C202" s="169">
        <f t="shared" si="7"/>
        <v>0</v>
      </c>
      <c r="D202" s="169">
        <f t="shared" si="7"/>
        <v>4.5</v>
      </c>
      <c r="E202" s="169">
        <f t="shared" si="7"/>
        <v>10.125</v>
      </c>
      <c r="F202" s="169">
        <f t="shared" si="7"/>
        <v>25.875</v>
      </c>
      <c r="G202" s="169">
        <f t="shared" si="7"/>
        <v>13.5</v>
      </c>
      <c r="H202" s="169">
        <f t="shared" si="7"/>
        <v>9</v>
      </c>
      <c r="I202" s="169">
        <f t="shared" si="7"/>
        <v>5.25</v>
      </c>
      <c r="J202" s="169">
        <f t="shared" si="7"/>
        <v>115.5</v>
      </c>
      <c r="K202" s="169">
        <f t="shared" si="7"/>
        <v>358.5</v>
      </c>
      <c r="L202" s="169">
        <f t="shared" si="7"/>
        <v>264</v>
      </c>
      <c r="M202" s="169">
        <f t="shared" si="7"/>
        <v>79.875</v>
      </c>
      <c r="N202" s="170">
        <f t="shared" si="4"/>
        <v>886.125</v>
      </c>
      <c r="O202" s="134"/>
      <c r="P202" s="134"/>
      <c r="Q202" s="134"/>
    </row>
    <row r="203" spans="1:17" x14ac:dyDescent="0.25">
      <c r="A203" s="145" t="s">
        <v>475</v>
      </c>
      <c r="B203" s="168">
        <f t="shared" si="7"/>
        <v>0</v>
      </c>
      <c r="C203" s="169">
        <f t="shared" si="7"/>
        <v>0</v>
      </c>
      <c r="D203" s="169">
        <f t="shared" si="7"/>
        <v>0</v>
      </c>
      <c r="E203" s="169">
        <f t="shared" si="7"/>
        <v>30</v>
      </c>
      <c r="F203" s="169">
        <f t="shared" si="7"/>
        <v>109.875</v>
      </c>
      <c r="G203" s="169">
        <f t="shared" si="7"/>
        <v>148.875</v>
      </c>
      <c r="H203" s="169">
        <f t="shared" si="7"/>
        <v>142.875</v>
      </c>
      <c r="I203" s="169">
        <f t="shared" si="7"/>
        <v>155.625</v>
      </c>
      <c r="J203" s="169">
        <f t="shared" si="7"/>
        <v>85.5</v>
      </c>
      <c r="K203" s="169">
        <f t="shared" si="7"/>
        <v>57</v>
      </c>
      <c r="L203" s="169">
        <f t="shared" si="7"/>
        <v>9</v>
      </c>
      <c r="M203" s="169">
        <f t="shared" si="7"/>
        <v>0</v>
      </c>
      <c r="N203" s="170">
        <f t="shared" si="4"/>
        <v>738.75</v>
      </c>
      <c r="O203" s="134"/>
      <c r="P203" s="134"/>
      <c r="Q203" s="134"/>
    </row>
    <row r="204" spans="1:17" x14ac:dyDescent="0.25">
      <c r="A204" s="145" t="s">
        <v>476</v>
      </c>
      <c r="B204" s="168">
        <f t="shared" si="7"/>
        <v>0</v>
      </c>
      <c r="C204" s="169">
        <f t="shared" si="7"/>
        <v>0</v>
      </c>
      <c r="D204" s="169">
        <f t="shared" si="7"/>
        <v>0</v>
      </c>
      <c r="E204" s="169">
        <f t="shared" si="7"/>
        <v>26.25</v>
      </c>
      <c r="F204" s="169">
        <f t="shared" si="7"/>
        <v>95.625</v>
      </c>
      <c r="G204" s="169">
        <f t="shared" si="7"/>
        <v>145.5</v>
      </c>
      <c r="H204" s="169">
        <f t="shared" si="7"/>
        <v>158.625</v>
      </c>
      <c r="I204" s="169">
        <f t="shared" si="7"/>
        <v>201.375</v>
      </c>
      <c r="J204" s="169">
        <f t="shared" si="7"/>
        <v>121.5</v>
      </c>
      <c r="K204" s="169">
        <f t="shared" si="7"/>
        <v>50.25</v>
      </c>
      <c r="L204" s="169">
        <f t="shared" si="7"/>
        <v>1.125</v>
      </c>
      <c r="M204" s="169">
        <f t="shared" si="7"/>
        <v>0</v>
      </c>
      <c r="N204" s="170">
        <f t="shared" si="4"/>
        <v>800.25</v>
      </c>
      <c r="O204" s="134"/>
      <c r="P204" s="134"/>
      <c r="Q204" s="134"/>
    </row>
    <row r="205" spans="1:17" x14ac:dyDescent="0.25">
      <c r="A205" s="145" t="s">
        <v>477</v>
      </c>
      <c r="B205" s="168">
        <f t="shared" si="7"/>
        <v>0</v>
      </c>
      <c r="C205" s="169">
        <f t="shared" si="7"/>
        <v>0</v>
      </c>
      <c r="D205" s="169">
        <f t="shared" si="7"/>
        <v>0</v>
      </c>
      <c r="E205" s="169">
        <f t="shared" si="7"/>
        <v>22.125</v>
      </c>
      <c r="F205" s="169">
        <f t="shared" si="7"/>
        <v>82.5</v>
      </c>
      <c r="G205" s="169">
        <f t="shared" si="7"/>
        <v>144.375</v>
      </c>
      <c r="H205" s="169">
        <f t="shared" si="7"/>
        <v>138.375</v>
      </c>
      <c r="I205" s="169">
        <f t="shared" si="7"/>
        <v>145.875</v>
      </c>
      <c r="J205" s="169">
        <f t="shared" si="7"/>
        <v>94.125</v>
      </c>
      <c r="K205" s="169">
        <f t="shared" si="7"/>
        <v>74.25</v>
      </c>
      <c r="L205" s="169">
        <f t="shared" si="7"/>
        <v>9.375</v>
      </c>
      <c r="M205" s="169">
        <f t="shared" si="7"/>
        <v>0</v>
      </c>
      <c r="N205" s="170">
        <f t="shared" si="4"/>
        <v>711</v>
      </c>
      <c r="O205" s="134"/>
      <c r="P205" s="134"/>
      <c r="Q205" s="134"/>
    </row>
    <row r="206" spans="1:17" x14ac:dyDescent="0.25">
      <c r="A206" s="145" t="s">
        <v>478</v>
      </c>
      <c r="B206" s="168">
        <f t="shared" si="7"/>
        <v>0</v>
      </c>
      <c r="C206" s="169">
        <f t="shared" si="7"/>
        <v>0</v>
      </c>
      <c r="D206" s="169">
        <f t="shared" si="7"/>
        <v>0</v>
      </c>
      <c r="E206" s="169">
        <f t="shared" si="7"/>
        <v>6.375</v>
      </c>
      <c r="F206" s="169">
        <f t="shared" si="7"/>
        <v>58.125</v>
      </c>
      <c r="G206" s="169">
        <f t="shared" si="7"/>
        <v>54.75</v>
      </c>
      <c r="H206" s="169">
        <f t="shared" si="7"/>
        <v>60.75</v>
      </c>
      <c r="I206" s="169">
        <f t="shared" si="7"/>
        <v>123</v>
      </c>
      <c r="J206" s="169">
        <f t="shared" si="7"/>
        <v>331.875</v>
      </c>
      <c r="K206" s="169">
        <f t="shared" si="7"/>
        <v>345</v>
      </c>
      <c r="L206" s="169">
        <f t="shared" si="7"/>
        <v>89.625</v>
      </c>
      <c r="M206" s="169">
        <f t="shared" si="7"/>
        <v>15.75</v>
      </c>
      <c r="N206" s="170">
        <f t="shared" si="4"/>
        <v>1085.25</v>
      </c>
      <c r="O206" s="134"/>
      <c r="P206" s="134"/>
      <c r="Q206" s="134"/>
    </row>
    <row r="207" spans="1:17" x14ac:dyDescent="0.25">
      <c r="A207" s="145" t="s">
        <v>479</v>
      </c>
      <c r="B207" s="168">
        <f t="shared" si="7"/>
        <v>0</v>
      </c>
      <c r="C207" s="169">
        <f t="shared" si="7"/>
        <v>0</v>
      </c>
      <c r="D207" s="169">
        <f t="shared" si="7"/>
        <v>0</v>
      </c>
      <c r="E207" s="169">
        <f t="shared" si="7"/>
        <v>22.5</v>
      </c>
      <c r="F207" s="169">
        <f t="shared" si="7"/>
        <v>78</v>
      </c>
      <c r="G207" s="169">
        <f t="shared" si="7"/>
        <v>131.625</v>
      </c>
      <c r="H207" s="169">
        <f t="shared" si="7"/>
        <v>125.625</v>
      </c>
      <c r="I207" s="169">
        <f t="shared" si="7"/>
        <v>159.375</v>
      </c>
      <c r="J207" s="169">
        <f t="shared" si="7"/>
        <v>90</v>
      </c>
      <c r="K207" s="169">
        <f t="shared" si="7"/>
        <v>63.375</v>
      </c>
      <c r="L207" s="169">
        <f t="shared" si="7"/>
        <v>11.25</v>
      </c>
      <c r="M207" s="169">
        <f t="shared" si="7"/>
        <v>0</v>
      </c>
      <c r="N207" s="170">
        <f t="shared" si="4"/>
        <v>681.75</v>
      </c>
      <c r="O207" s="134"/>
      <c r="P207" s="134"/>
      <c r="Q207" s="134"/>
    </row>
    <row r="208" spans="1:17" x14ac:dyDescent="0.25">
      <c r="A208" s="145" t="s">
        <v>480</v>
      </c>
      <c r="B208" s="168">
        <f t="shared" si="7"/>
        <v>0</v>
      </c>
      <c r="C208" s="169">
        <f t="shared" si="7"/>
        <v>0</v>
      </c>
      <c r="D208" s="169">
        <f t="shared" si="7"/>
        <v>0.75</v>
      </c>
      <c r="E208" s="169">
        <f t="shared" si="7"/>
        <v>7.125</v>
      </c>
      <c r="F208" s="169">
        <f t="shared" si="7"/>
        <v>91.125</v>
      </c>
      <c r="G208" s="169">
        <f t="shared" si="7"/>
        <v>92.25</v>
      </c>
      <c r="H208" s="169">
        <f t="shared" si="7"/>
        <v>100.5</v>
      </c>
      <c r="I208" s="169">
        <f t="shared" si="7"/>
        <v>89.625</v>
      </c>
      <c r="J208" s="169">
        <f t="shared" si="7"/>
        <v>104.25</v>
      </c>
      <c r="K208" s="169">
        <f t="shared" si="7"/>
        <v>113.25</v>
      </c>
      <c r="L208" s="169">
        <f t="shared" si="7"/>
        <v>22.125</v>
      </c>
      <c r="M208" s="169">
        <f t="shared" si="7"/>
        <v>0</v>
      </c>
      <c r="N208" s="170">
        <f t="shared" si="4"/>
        <v>621</v>
      </c>
      <c r="O208" s="134"/>
      <c r="P208" s="134"/>
      <c r="Q208" s="134"/>
    </row>
    <row r="209" spans="1:17" ht="15.75" thickBot="1" x14ac:dyDescent="0.3">
      <c r="A209" s="150" t="s">
        <v>481</v>
      </c>
      <c r="B209" s="171">
        <f t="shared" si="7"/>
        <v>0</v>
      </c>
      <c r="C209" s="172">
        <f t="shared" si="7"/>
        <v>0</v>
      </c>
      <c r="D209" s="172">
        <f t="shared" si="7"/>
        <v>0</v>
      </c>
      <c r="E209" s="172">
        <f t="shared" si="7"/>
        <v>18.75</v>
      </c>
      <c r="F209" s="172">
        <f t="shared" si="7"/>
        <v>100.875</v>
      </c>
      <c r="G209" s="172">
        <f t="shared" si="7"/>
        <v>155.25</v>
      </c>
      <c r="H209" s="172">
        <f t="shared" si="7"/>
        <v>162</v>
      </c>
      <c r="I209" s="172">
        <f t="shared" si="7"/>
        <v>204</v>
      </c>
      <c r="J209" s="172">
        <f t="shared" si="7"/>
        <v>158.625</v>
      </c>
      <c r="K209" s="172">
        <f t="shared" si="7"/>
        <v>88.5</v>
      </c>
      <c r="L209" s="172">
        <f t="shared" si="7"/>
        <v>14.25</v>
      </c>
      <c r="M209" s="173">
        <f t="shared" si="7"/>
        <v>0</v>
      </c>
      <c r="N209" s="174">
        <f t="shared" si="4"/>
        <v>902.25</v>
      </c>
      <c r="O209" s="134"/>
      <c r="P209" s="134"/>
      <c r="Q209" s="134"/>
    </row>
    <row r="210" spans="1:17" x14ac:dyDescent="0.25">
      <c r="A210" s="134"/>
      <c r="B210" s="134"/>
      <c r="C210" s="134"/>
      <c r="D210" s="134"/>
      <c r="E210" s="134"/>
      <c r="F210" s="134"/>
      <c r="G210" s="134"/>
      <c r="H210" s="134"/>
      <c r="I210" s="134"/>
      <c r="J210" s="134"/>
      <c r="K210" s="134"/>
      <c r="L210" s="134"/>
      <c r="M210" s="134"/>
      <c r="N210" s="134"/>
      <c r="O210" s="134"/>
      <c r="P210" s="134"/>
      <c r="Q210" s="134"/>
    </row>
    <row r="211" spans="1:17" ht="15.75" thickBot="1" x14ac:dyDescent="0.3">
      <c r="A211" s="134"/>
      <c r="B211" s="134"/>
      <c r="C211" s="134"/>
      <c r="D211" s="134"/>
      <c r="E211" s="134"/>
      <c r="F211" s="134"/>
      <c r="G211" s="134"/>
      <c r="H211" s="134"/>
      <c r="I211" s="134"/>
      <c r="J211" s="134"/>
      <c r="K211" s="134"/>
      <c r="L211" s="134"/>
      <c r="M211" s="134"/>
      <c r="N211" s="134"/>
      <c r="O211" s="134"/>
      <c r="P211" s="134"/>
      <c r="Q211" s="134"/>
    </row>
    <row r="212" spans="1:17" ht="20.25" customHeight="1" thickBot="1" x14ac:dyDescent="0.3">
      <c r="A212" s="2187" t="s">
        <v>485</v>
      </c>
      <c r="B212" s="2188"/>
      <c r="C212" s="2188"/>
      <c r="D212" s="2188"/>
      <c r="E212" s="2188"/>
      <c r="F212" s="2188"/>
      <c r="G212" s="131"/>
      <c r="H212" s="131"/>
      <c r="I212" s="131"/>
      <c r="J212" s="131"/>
      <c r="K212" s="131"/>
      <c r="L212" s="131"/>
      <c r="M212" s="131"/>
      <c r="N212" s="131"/>
      <c r="O212" s="131"/>
      <c r="P212" s="131"/>
      <c r="Q212" s="134"/>
    </row>
    <row r="213" spans="1:17" x14ac:dyDescent="0.25">
      <c r="A213" s="134"/>
      <c r="B213" s="134"/>
      <c r="C213" s="134"/>
      <c r="D213" s="134"/>
      <c r="E213" s="134"/>
      <c r="F213" s="134"/>
      <c r="G213" s="134"/>
      <c r="H213" s="134"/>
      <c r="I213" s="134"/>
      <c r="J213" s="134"/>
      <c r="K213" s="134"/>
      <c r="L213" s="134"/>
      <c r="M213" s="134"/>
      <c r="N213" s="134"/>
      <c r="O213" s="134"/>
      <c r="P213" s="134"/>
      <c r="Q213" s="134"/>
    </row>
    <row r="214" spans="1:17" x14ac:dyDescent="0.25">
      <c r="A214" s="175" t="s">
        <v>486</v>
      </c>
      <c r="B214" s="134"/>
      <c r="C214" s="134"/>
      <c r="D214" s="134"/>
      <c r="E214" s="134"/>
      <c r="F214" s="134"/>
      <c r="G214" s="134"/>
      <c r="H214" s="134"/>
      <c r="I214" s="134"/>
      <c r="J214" s="134"/>
      <c r="K214" s="134"/>
      <c r="L214" s="134"/>
      <c r="M214" s="134"/>
      <c r="N214" s="134"/>
      <c r="O214" s="134"/>
      <c r="P214" s="134"/>
      <c r="Q214" s="134"/>
    </row>
    <row r="215" spans="1:17" ht="15.75" thickBot="1" x14ac:dyDescent="0.3">
      <c r="A215" s="175"/>
      <c r="B215" s="134"/>
      <c r="C215" s="134"/>
      <c r="D215" s="134"/>
      <c r="E215" s="134"/>
      <c r="F215" s="134"/>
      <c r="G215" s="134"/>
      <c r="H215" s="134"/>
      <c r="I215" s="134"/>
      <c r="J215" s="134"/>
      <c r="K215" s="134"/>
      <c r="L215" s="134"/>
      <c r="M215" s="134"/>
      <c r="N215" s="134"/>
      <c r="O215" s="134"/>
      <c r="P215" s="134"/>
      <c r="Q215" s="134"/>
    </row>
    <row r="216" spans="1:17" ht="15.75" thickBot="1" x14ac:dyDescent="0.3">
      <c r="A216" s="134"/>
      <c r="B216" s="136" t="s">
        <v>406</v>
      </c>
      <c r="C216" s="137" t="s">
        <v>407</v>
      </c>
      <c r="D216" s="137" t="s">
        <v>408</v>
      </c>
      <c r="E216" s="137" t="s">
        <v>409</v>
      </c>
      <c r="F216" s="137" t="s">
        <v>410</v>
      </c>
      <c r="G216" s="137" t="s">
        <v>411</v>
      </c>
      <c r="H216" s="137" t="s">
        <v>412</v>
      </c>
      <c r="I216" s="137" t="s">
        <v>413</v>
      </c>
      <c r="J216" s="137" t="s">
        <v>414</v>
      </c>
      <c r="K216" s="137" t="s">
        <v>415</v>
      </c>
      <c r="L216" s="137" t="s">
        <v>416</v>
      </c>
      <c r="M216" s="138" t="s">
        <v>417</v>
      </c>
      <c r="N216" s="139" t="s">
        <v>418</v>
      </c>
      <c r="O216" s="134"/>
      <c r="P216" s="134"/>
      <c r="Q216" s="134"/>
    </row>
    <row r="217" spans="1:17" ht="15.75" thickBot="1" x14ac:dyDescent="0.3">
      <c r="A217" s="150" t="s">
        <v>487</v>
      </c>
      <c r="B217" s="162">
        <v>51</v>
      </c>
      <c r="C217" s="163">
        <v>52</v>
      </c>
      <c r="D217" s="163">
        <v>60</v>
      </c>
      <c r="E217" s="163">
        <v>80</v>
      </c>
      <c r="F217" s="163">
        <v>114</v>
      </c>
      <c r="G217" s="163">
        <v>123</v>
      </c>
      <c r="H217" s="163">
        <v>125</v>
      </c>
      <c r="I217" s="163">
        <v>108</v>
      </c>
      <c r="J217" s="163">
        <v>102</v>
      </c>
      <c r="K217" s="163">
        <v>85</v>
      </c>
      <c r="L217" s="163">
        <v>70</v>
      </c>
      <c r="M217" s="164">
        <v>57</v>
      </c>
      <c r="N217" s="174">
        <f>AVERAGE(B217:M217)</f>
        <v>85.583333333333329</v>
      </c>
      <c r="O217" s="134"/>
      <c r="P217" s="134"/>
      <c r="Q217" s="134"/>
    </row>
    <row r="218" spans="1:17" ht="15.75" thickBot="1" x14ac:dyDescent="0.3">
      <c r="A218" s="150" t="s">
        <v>488</v>
      </c>
      <c r="B218" s="162">
        <v>115</v>
      </c>
      <c r="C218" s="163">
        <v>130</v>
      </c>
      <c r="D218" s="163">
        <v>141</v>
      </c>
      <c r="E218" s="163">
        <v>143</v>
      </c>
      <c r="F218" s="163">
        <v>125</v>
      </c>
      <c r="G218" s="163">
        <v>110</v>
      </c>
      <c r="H218" s="163">
        <v>110</v>
      </c>
      <c r="I218" s="163">
        <v>108</v>
      </c>
      <c r="J218" s="163">
        <v>107</v>
      </c>
      <c r="K218" s="163">
        <v>100</v>
      </c>
      <c r="L218" s="163">
        <v>103</v>
      </c>
      <c r="M218" s="164">
        <v>100</v>
      </c>
      <c r="N218" s="174">
        <f>AVERAGE(B218:M218)</f>
        <v>116</v>
      </c>
      <c r="O218" s="134"/>
      <c r="P218" s="134"/>
      <c r="Q218" s="134"/>
    </row>
    <row r="219" spans="1:17" ht="15.75" thickBot="1" x14ac:dyDescent="0.3">
      <c r="A219" s="150" t="s">
        <v>489</v>
      </c>
      <c r="B219" s="162">
        <v>48</v>
      </c>
      <c r="C219" s="163">
        <v>54</v>
      </c>
      <c r="D219" s="163">
        <v>64</v>
      </c>
      <c r="E219" s="163">
        <v>85</v>
      </c>
      <c r="F219" s="163">
        <v>108</v>
      </c>
      <c r="G219" s="163">
        <v>110</v>
      </c>
      <c r="H219" s="163">
        <v>112</v>
      </c>
      <c r="I219" s="163">
        <v>108</v>
      </c>
      <c r="J219" s="163">
        <v>100</v>
      </c>
      <c r="K219" s="163">
        <v>75</v>
      </c>
      <c r="L219" s="163">
        <v>60</v>
      </c>
      <c r="M219" s="164">
        <v>52</v>
      </c>
      <c r="N219" s="174">
        <f t="shared" ref="N219:N224" si="8">AVERAGE(B219:M219)</f>
        <v>81.333333333333329</v>
      </c>
      <c r="O219" s="134"/>
      <c r="P219" s="134"/>
      <c r="Q219" s="134"/>
    </row>
    <row r="220" spans="1:17" ht="15.75" thickBot="1" x14ac:dyDescent="0.3">
      <c r="A220" s="150" t="s">
        <v>490</v>
      </c>
      <c r="B220" s="162">
        <v>52</v>
      </c>
      <c r="C220" s="163">
        <v>68</v>
      </c>
      <c r="D220" s="163">
        <v>83</v>
      </c>
      <c r="E220" s="163">
        <v>103</v>
      </c>
      <c r="F220" s="163">
        <v>108</v>
      </c>
      <c r="G220" s="163">
        <v>100</v>
      </c>
      <c r="H220" s="163">
        <v>99</v>
      </c>
      <c r="I220" s="163">
        <v>98</v>
      </c>
      <c r="J220" s="163">
        <v>94</v>
      </c>
      <c r="K220" s="163">
        <v>76</v>
      </c>
      <c r="L220" s="163">
        <v>60</v>
      </c>
      <c r="M220" s="164">
        <v>52</v>
      </c>
      <c r="N220" s="174">
        <f t="shared" si="8"/>
        <v>82.75</v>
      </c>
      <c r="O220" s="134"/>
      <c r="P220" s="134"/>
      <c r="Q220" s="134"/>
    </row>
    <row r="221" spans="1:17" ht="15.75" thickBot="1" x14ac:dyDescent="0.3">
      <c r="A221" s="150" t="s">
        <v>491</v>
      </c>
      <c r="B221" s="162">
        <v>80</v>
      </c>
      <c r="C221" s="163">
        <v>95</v>
      </c>
      <c r="D221" s="163">
        <v>112</v>
      </c>
      <c r="E221" s="163">
        <v>125</v>
      </c>
      <c r="F221" s="163">
        <v>138</v>
      </c>
      <c r="G221" s="163">
        <v>139</v>
      </c>
      <c r="H221" s="163">
        <v>140</v>
      </c>
      <c r="I221" s="163">
        <v>131</v>
      </c>
      <c r="J221" s="163">
        <v>116</v>
      </c>
      <c r="K221" s="163">
        <v>95</v>
      </c>
      <c r="L221" s="163">
        <v>80</v>
      </c>
      <c r="M221" s="164">
        <v>72</v>
      </c>
      <c r="N221" s="174">
        <f t="shared" si="8"/>
        <v>110.25</v>
      </c>
      <c r="O221" s="134"/>
      <c r="P221" s="134"/>
      <c r="Q221" s="134"/>
    </row>
    <row r="222" spans="1:17" ht="15.75" thickBot="1" x14ac:dyDescent="0.3">
      <c r="A222" s="150" t="s">
        <v>492</v>
      </c>
      <c r="B222" s="162">
        <v>48</v>
      </c>
      <c r="C222" s="163">
        <v>54</v>
      </c>
      <c r="D222" s="163">
        <v>64</v>
      </c>
      <c r="E222" s="163">
        <v>90</v>
      </c>
      <c r="F222" s="163">
        <v>118</v>
      </c>
      <c r="G222" s="163">
        <v>135</v>
      </c>
      <c r="H222" s="163">
        <v>139</v>
      </c>
      <c r="I222" s="163">
        <v>120</v>
      </c>
      <c r="J222" s="163">
        <v>102</v>
      </c>
      <c r="K222" s="163">
        <v>78</v>
      </c>
      <c r="L222" s="163">
        <v>63</v>
      </c>
      <c r="M222" s="164">
        <v>55</v>
      </c>
      <c r="N222" s="174">
        <f t="shared" si="8"/>
        <v>88.833333333333329</v>
      </c>
      <c r="O222" s="134"/>
      <c r="P222" s="134"/>
      <c r="Q222" s="134"/>
    </row>
    <row r="223" spans="1:17" ht="15.75" thickBot="1" x14ac:dyDescent="0.3">
      <c r="A223" s="150" t="s">
        <v>493</v>
      </c>
      <c r="B223" s="162">
        <v>96</v>
      </c>
      <c r="C223" s="163">
        <v>110</v>
      </c>
      <c r="D223" s="163">
        <v>125</v>
      </c>
      <c r="E223" s="163">
        <v>125</v>
      </c>
      <c r="F223" s="163">
        <v>110</v>
      </c>
      <c r="G223" s="163">
        <v>94</v>
      </c>
      <c r="H223" s="163">
        <v>88</v>
      </c>
      <c r="I223" s="163">
        <v>81</v>
      </c>
      <c r="J223" s="163">
        <v>85</v>
      </c>
      <c r="K223" s="163">
        <v>86</v>
      </c>
      <c r="L223" s="163">
        <v>86</v>
      </c>
      <c r="M223" s="164">
        <v>85</v>
      </c>
      <c r="N223" s="174">
        <f t="shared" si="8"/>
        <v>97.583333333333329</v>
      </c>
      <c r="O223" s="134"/>
      <c r="P223" s="134"/>
      <c r="Q223" s="134"/>
    </row>
    <row r="224" spans="1:17" ht="15.75" thickBot="1" x14ac:dyDescent="0.3">
      <c r="A224" s="150" t="s">
        <v>494</v>
      </c>
      <c r="B224" s="162">
        <v>120</v>
      </c>
      <c r="C224" s="163">
        <v>135</v>
      </c>
      <c r="D224" s="163">
        <v>145</v>
      </c>
      <c r="E224" s="163">
        <v>147</v>
      </c>
      <c r="F224" s="163">
        <v>136</v>
      </c>
      <c r="G224" s="163">
        <v>120</v>
      </c>
      <c r="H224" s="163">
        <v>118</v>
      </c>
      <c r="I224" s="163">
        <v>114</v>
      </c>
      <c r="J224" s="163">
        <v>112</v>
      </c>
      <c r="K224" s="163">
        <v>107</v>
      </c>
      <c r="L224" s="163">
        <v>106</v>
      </c>
      <c r="M224" s="164">
        <v>104</v>
      </c>
      <c r="N224" s="174">
        <f t="shared" si="8"/>
        <v>122</v>
      </c>
      <c r="O224" s="134"/>
      <c r="P224" s="134"/>
      <c r="Q224" s="134"/>
    </row>
    <row r="225" spans="1:17" ht="15.75" thickBot="1" x14ac:dyDescent="0.3">
      <c r="A225" s="134"/>
      <c r="B225" s="134"/>
      <c r="C225" s="134"/>
      <c r="D225" s="134"/>
      <c r="E225" s="134"/>
      <c r="F225" s="134"/>
      <c r="G225" s="134"/>
      <c r="H225" s="134"/>
      <c r="I225" s="134"/>
      <c r="J225" s="134"/>
      <c r="K225" s="134"/>
      <c r="L225" s="134"/>
      <c r="M225" s="134"/>
      <c r="N225" s="134"/>
      <c r="O225" s="134"/>
      <c r="P225" s="134"/>
      <c r="Q225" s="134"/>
    </row>
    <row r="226" spans="1:17" ht="15.75" thickBot="1" x14ac:dyDescent="0.3">
      <c r="A226" s="134"/>
      <c r="B226" s="136" t="s">
        <v>406</v>
      </c>
      <c r="C226" s="137" t="s">
        <v>407</v>
      </c>
      <c r="D226" s="137" t="s">
        <v>408</v>
      </c>
      <c r="E226" s="137" t="s">
        <v>409</v>
      </c>
      <c r="F226" s="137" t="s">
        <v>410</v>
      </c>
      <c r="G226" s="137" t="s">
        <v>411</v>
      </c>
      <c r="H226" s="137" t="s">
        <v>412</v>
      </c>
      <c r="I226" s="137" t="s">
        <v>413</v>
      </c>
      <c r="J226" s="137" t="s">
        <v>414</v>
      </c>
      <c r="K226" s="137" t="s">
        <v>415</v>
      </c>
      <c r="L226" s="137" t="s">
        <v>416</v>
      </c>
      <c r="M226" s="138" t="s">
        <v>417</v>
      </c>
      <c r="N226" s="139" t="s">
        <v>418</v>
      </c>
      <c r="O226" s="134"/>
      <c r="P226" s="134"/>
      <c r="Q226" s="134"/>
    </row>
    <row r="227" spans="1:17" ht="15.75" thickBot="1" x14ac:dyDescent="0.3">
      <c r="A227" s="140" t="s">
        <v>419</v>
      </c>
      <c r="B227" s="162">
        <v>51</v>
      </c>
      <c r="C227" s="163">
        <v>52</v>
      </c>
      <c r="D227" s="163">
        <v>60</v>
      </c>
      <c r="E227" s="163">
        <v>80</v>
      </c>
      <c r="F227" s="163">
        <v>115</v>
      </c>
      <c r="G227" s="163">
        <v>123</v>
      </c>
      <c r="H227" s="163">
        <v>125</v>
      </c>
      <c r="I227" s="163">
        <v>108</v>
      </c>
      <c r="J227" s="163">
        <v>102</v>
      </c>
      <c r="K227" s="163">
        <v>85</v>
      </c>
      <c r="L227" s="163">
        <v>70</v>
      </c>
      <c r="M227" s="164">
        <v>57</v>
      </c>
      <c r="N227" s="174">
        <f>AVERAGE(B227:M227)</f>
        <v>85.666666666666671</v>
      </c>
      <c r="O227" s="134" t="s">
        <v>487</v>
      </c>
      <c r="P227" s="134"/>
      <c r="Q227" s="134"/>
    </row>
    <row r="228" spans="1:17" ht="15.75" thickBot="1" x14ac:dyDescent="0.3">
      <c r="A228" s="145" t="s">
        <v>420</v>
      </c>
      <c r="B228" s="162">
        <v>48</v>
      </c>
      <c r="C228" s="163">
        <v>54</v>
      </c>
      <c r="D228" s="163">
        <v>64</v>
      </c>
      <c r="E228" s="163">
        <v>85</v>
      </c>
      <c r="F228" s="163">
        <v>108</v>
      </c>
      <c r="G228" s="163">
        <v>110</v>
      </c>
      <c r="H228" s="163">
        <v>112</v>
      </c>
      <c r="I228" s="163">
        <v>108</v>
      </c>
      <c r="J228" s="163">
        <v>100</v>
      </c>
      <c r="K228" s="163">
        <v>75</v>
      </c>
      <c r="L228" s="163">
        <v>60</v>
      </c>
      <c r="M228" s="164">
        <v>52</v>
      </c>
      <c r="N228" s="174">
        <f t="shared" ref="N228:N290" si="9">AVERAGE(B228:M228)</f>
        <v>81.333333333333329</v>
      </c>
      <c r="O228" s="134" t="s">
        <v>489</v>
      </c>
      <c r="P228" s="134"/>
      <c r="Q228" s="134"/>
    </row>
    <row r="229" spans="1:17" ht="15.75" thickBot="1" x14ac:dyDescent="0.3">
      <c r="A229" s="145" t="s">
        <v>421</v>
      </c>
      <c r="B229" s="162">
        <v>48</v>
      </c>
      <c r="C229" s="163">
        <v>54</v>
      </c>
      <c r="D229" s="163">
        <v>64</v>
      </c>
      <c r="E229" s="163">
        <v>85</v>
      </c>
      <c r="F229" s="163">
        <v>108</v>
      </c>
      <c r="G229" s="163">
        <v>110</v>
      </c>
      <c r="H229" s="163">
        <v>112</v>
      </c>
      <c r="I229" s="163">
        <v>108</v>
      </c>
      <c r="J229" s="163">
        <v>100</v>
      </c>
      <c r="K229" s="163">
        <v>75</v>
      </c>
      <c r="L229" s="163">
        <v>60</v>
      </c>
      <c r="M229" s="164">
        <v>52</v>
      </c>
      <c r="N229" s="174">
        <f t="shared" si="9"/>
        <v>81.333333333333329</v>
      </c>
      <c r="O229" s="134" t="s">
        <v>489</v>
      </c>
      <c r="P229" s="134"/>
      <c r="Q229" s="134"/>
    </row>
    <row r="230" spans="1:17" ht="15.75" thickBot="1" x14ac:dyDescent="0.3">
      <c r="A230" s="145" t="s">
        <v>422</v>
      </c>
      <c r="B230" s="162">
        <v>96</v>
      </c>
      <c r="C230" s="163">
        <v>110</v>
      </c>
      <c r="D230" s="163">
        <v>125</v>
      </c>
      <c r="E230" s="163">
        <v>125</v>
      </c>
      <c r="F230" s="163">
        <v>110</v>
      </c>
      <c r="G230" s="163">
        <v>94</v>
      </c>
      <c r="H230" s="163">
        <v>88</v>
      </c>
      <c r="I230" s="163">
        <v>81</v>
      </c>
      <c r="J230" s="163">
        <v>85</v>
      </c>
      <c r="K230" s="163">
        <v>86</v>
      </c>
      <c r="L230" s="163">
        <v>86</v>
      </c>
      <c r="M230" s="164">
        <v>85</v>
      </c>
      <c r="N230" s="174">
        <f t="shared" si="9"/>
        <v>97.583333333333329</v>
      </c>
      <c r="O230" s="134" t="s">
        <v>493</v>
      </c>
      <c r="P230" s="134"/>
      <c r="Q230" s="134"/>
    </row>
    <row r="231" spans="1:17" ht="15.75" thickBot="1" x14ac:dyDescent="0.3">
      <c r="A231" s="145" t="s">
        <v>423</v>
      </c>
      <c r="B231" s="162">
        <v>115</v>
      </c>
      <c r="C231" s="163">
        <v>130</v>
      </c>
      <c r="D231" s="163">
        <v>141</v>
      </c>
      <c r="E231" s="163">
        <v>143</v>
      </c>
      <c r="F231" s="163">
        <v>125</v>
      </c>
      <c r="G231" s="163">
        <v>110</v>
      </c>
      <c r="H231" s="163">
        <v>110</v>
      </c>
      <c r="I231" s="163">
        <v>108</v>
      </c>
      <c r="J231" s="163">
        <v>107</v>
      </c>
      <c r="K231" s="163">
        <v>100</v>
      </c>
      <c r="L231" s="163">
        <v>103</v>
      </c>
      <c r="M231" s="164">
        <v>100</v>
      </c>
      <c r="N231" s="174">
        <f t="shared" si="9"/>
        <v>116</v>
      </c>
      <c r="O231" s="134" t="s">
        <v>488</v>
      </c>
      <c r="P231" s="134"/>
      <c r="Q231" s="134"/>
    </row>
    <row r="232" spans="1:17" ht="15.75" thickBot="1" x14ac:dyDescent="0.3">
      <c r="A232" s="145" t="s">
        <v>424</v>
      </c>
      <c r="B232" s="162">
        <v>80</v>
      </c>
      <c r="C232" s="163">
        <v>95</v>
      </c>
      <c r="D232" s="163">
        <v>112</v>
      </c>
      <c r="E232" s="163">
        <v>125</v>
      </c>
      <c r="F232" s="163">
        <v>138</v>
      </c>
      <c r="G232" s="163">
        <v>139</v>
      </c>
      <c r="H232" s="163">
        <v>140</v>
      </c>
      <c r="I232" s="163">
        <v>131</v>
      </c>
      <c r="J232" s="163">
        <v>116</v>
      </c>
      <c r="K232" s="163">
        <v>95</v>
      </c>
      <c r="L232" s="163">
        <v>80</v>
      </c>
      <c r="M232" s="164">
        <v>72</v>
      </c>
      <c r="N232" s="174">
        <f t="shared" si="9"/>
        <v>110.25</v>
      </c>
      <c r="O232" s="134" t="s">
        <v>491</v>
      </c>
      <c r="P232" s="134"/>
      <c r="Q232" s="134"/>
    </row>
    <row r="233" spans="1:17" ht="15.75" thickBot="1" x14ac:dyDescent="0.3">
      <c r="A233" s="145" t="s">
        <v>425</v>
      </c>
      <c r="B233" s="162">
        <v>115</v>
      </c>
      <c r="C233" s="163">
        <v>130</v>
      </c>
      <c r="D233" s="163">
        <v>141</v>
      </c>
      <c r="E233" s="163">
        <v>143</v>
      </c>
      <c r="F233" s="163">
        <v>125</v>
      </c>
      <c r="G233" s="163">
        <v>110</v>
      </c>
      <c r="H233" s="163">
        <v>110</v>
      </c>
      <c r="I233" s="163">
        <v>108</v>
      </c>
      <c r="J233" s="163">
        <v>107</v>
      </c>
      <c r="K233" s="163">
        <v>100</v>
      </c>
      <c r="L233" s="163">
        <v>103</v>
      </c>
      <c r="M233" s="164">
        <v>100</v>
      </c>
      <c r="N233" s="174">
        <f t="shared" si="9"/>
        <v>116</v>
      </c>
      <c r="O233" s="134" t="s">
        <v>488</v>
      </c>
      <c r="P233" s="134"/>
      <c r="Q233" s="134"/>
    </row>
    <row r="234" spans="1:17" ht="15.75" thickBot="1" x14ac:dyDescent="0.3">
      <c r="A234" s="145" t="s">
        <v>426</v>
      </c>
      <c r="B234" s="162">
        <v>115</v>
      </c>
      <c r="C234" s="163">
        <v>130</v>
      </c>
      <c r="D234" s="163">
        <v>141</v>
      </c>
      <c r="E234" s="163">
        <v>143</v>
      </c>
      <c r="F234" s="163">
        <v>125</v>
      </c>
      <c r="G234" s="163">
        <v>110</v>
      </c>
      <c r="H234" s="163">
        <v>110</v>
      </c>
      <c r="I234" s="163">
        <v>108</v>
      </c>
      <c r="J234" s="163">
        <v>107</v>
      </c>
      <c r="K234" s="163">
        <v>100</v>
      </c>
      <c r="L234" s="163">
        <v>103</v>
      </c>
      <c r="M234" s="164">
        <v>100</v>
      </c>
      <c r="N234" s="174">
        <f t="shared" si="9"/>
        <v>116</v>
      </c>
      <c r="O234" s="134" t="s">
        <v>488</v>
      </c>
      <c r="P234" s="134"/>
      <c r="Q234" s="134"/>
    </row>
    <row r="235" spans="1:17" ht="15.75" thickBot="1" x14ac:dyDescent="0.3">
      <c r="A235" s="145" t="s">
        <v>427</v>
      </c>
      <c r="B235" s="162">
        <v>48</v>
      </c>
      <c r="C235" s="163">
        <v>54</v>
      </c>
      <c r="D235" s="163">
        <v>64</v>
      </c>
      <c r="E235" s="163">
        <v>85</v>
      </c>
      <c r="F235" s="163">
        <v>108</v>
      </c>
      <c r="G235" s="163">
        <v>110</v>
      </c>
      <c r="H235" s="163">
        <v>112</v>
      </c>
      <c r="I235" s="163">
        <v>108</v>
      </c>
      <c r="J235" s="163">
        <v>100</v>
      </c>
      <c r="K235" s="163">
        <v>75</v>
      </c>
      <c r="L235" s="163">
        <v>60</v>
      </c>
      <c r="M235" s="164">
        <v>52</v>
      </c>
      <c r="N235" s="174">
        <f t="shared" si="9"/>
        <v>81.333333333333329</v>
      </c>
      <c r="O235" s="134" t="s">
        <v>489</v>
      </c>
      <c r="P235" s="134"/>
      <c r="Q235" s="134"/>
    </row>
    <row r="236" spans="1:17" ht="15.75" thickBot="1" x14ac:dyDescent="0.3">
      <c r="A236" s="145" t="s">
        <v>428</v>
      </c>
      <c r="B236" s="162">
        <v>115</v>
      </c>
      <c r="C236" s="163">
        <v>130</v>
      </c>
      <c r="D236" s="163">
        <v>141</v>
      </c>
      <c r="E236" s="163">
        <v>143</v>
      </c>
      <c r="F236" s="163">
        <v>125</v>
      </c>
      <c r="G236" s="163">
        <v>110</v>
      </c>
      <c r="H236" s="163">
        <v>110</v>
      </c>
      <c r="I236" s="163">
        <v>108</v>
      </c>
      <c r="J236" s="163">
        <v>107</v>
      </c>
      <c r="K236" s="163">
        <v>100</v>
      </c>
      <c r="L236" s="163">
        <v>103</v>
      </c>
      <c r="M236" s="164">
        <v>100</v>
      </c>
      <c r="N236" s="174">
        <f t="shared" si="9"/>
        <v>116</v>
      </c>
      <c r="O236" s="134" t="s">
        <v>488</v>
      </c>
      <c r="P236" s="134"/>
      <c r="Q236" s="134"/>
    </row>
    <row r="237" spans="1:17" ht="15.75" thickBot="1" x14ac:dyDescent="0.3">
      <c r="A237" s="145" t="s">
        <v>429</v>
      </c>
      <c r="B237" s="162">
        <v>115</v>
      </c>
      <c r="C237" s="163">
        <v>130</v>
      </c>
      <c r="D237" s="163">
        <v>141</v>
      </c>
      <c r="E237" s="163">
        <v>143</v>
      </c>
      <c r="F237" s="163">
        <v>125</v>
      </c>
      <c r="G237" s="163">
        <v>110</v>
      </c>
      <c r="H237" s="163">
        <v>110</v>
      </c>
      <c r="I237" s="163">
        <v>108</v>
      </c>
      <c r="J237" s="163">
        <v>107</v>
      </c>
      <c r="K237" s="163">
        <v>100</v>
      </c>
      <c r="L237" s="163">
        <v>103</v>
      </c>
      <c r="M237" s="164">
        <v>100</v>
      </c>
      <c r="N237" s="174">
        <f t="shared" si="9"/>
        <v>116</v>
      </c>
      <c r="O237" s="134" t="s">
        <v>488</v>
      </c>
      <c r="P237" s="134"/>
      <c r="Q237" s="134"/>
    </row>
    <row r="238" spans="1:17" ht="15.75" thickBot="1" x14ac:dyDescent="0.3">
      <c r="A238" s="145" t="s">
        <v>430</v>
      </c>
      <c r="B238" s="162">
        <v>120</v>
      </c>
      <c r="C238" s="163">
        <v>135</v>
      </c>
      <c r="D238" s="163">
        <v>145</v>
      </c>
      <c r="E238" s="163">
        <v>147</v>
      </c>
      <c r="F238" s="163">
        <v>136</v>
      </c>
      <c r="G238" s="163">
        <v>120</v>
      </c>
      <c r="H238" s="163">
        <v>118</v>
      </c>
      <c r="I238" s="163">
        <v>114</v>
      </c>
      <c r="J238" s="163">
        <v>112</v>
      </c>
      <c r="K238" s="163">
        <v>107</v>
      </c>
      <c r="L238" s="163">
        <v>106</v>
      </c>
      <c r="M238" s="164">
        <v>104</v>
      </c>
      <c r="N238" s="174">
        <f t="shared" si="9"/>
        <v>122</v>
      </c>
      <c r="O238" s="134" t="s">
        <v>494</v>
      </c>
      <c r="P238" s="134"/>
      <c r="Q238" s="134"/>
    </row>
    <row r="239" spans="1:17" ht="15.75" thickBot="1" x14ac:dyDescent="0.3">
      <c r="A239" s="145" t="s">
        <v>431</v>
      </c>
      <c r="B239" s="162">
        <v>51</v>
      </c>
      <c r="C239" s="163">
        <v>52</v>
      </c>
      <c r="D239" s="163">
        <v>60</v>
      </c>
      <c r="E239" s="163">
        <v>80</v>
      </c>
      <c r="F239" s="163">
        <v>115</v>
      </c>
      <c r="G239" s="163">
        <v>123</v>
      </c>
      <c r="H239" s="163">
        <v>125</v>
      </c>
      <c r="I239" s="163">
        <v>108</v>
      </c>
      <c r="J239" s="163">
        <v>102</v>
      </c>
      <c r="K239" s="163">
        <v>85</v>
      </c>
      <c r="L239" s="163">
        <v>70</v>
      </c>
      <c r="M239" s="164">
        <v>57</v>
      </c>
      <c r="N239" s="174">
        <f t="shared" si="9"/>
        <v>85.666666666666671</v>
      </c>
      <c r="O239" s="134" t="s">
        <v>487</v>
      </c>
      <c r="P239" s="134"/>
      <c r="Q239" s="134"/>
    </row>
    <row r="240" spans="1:17" ht="15.75" thickBot="1" x14ac:dyDescent="0.3">
      <c r="A240" s="145" t="s">
        <v>432</v>
      </c>
      <c r="B240" s="162">
        <v>96</v>
      </c>
      <c r="C240" s="163">
        <v>110</v>
      </c>
      <c r="D240" s="163">
        <v>125</v>
      </c>
      <c r="E240" s="163">
        <v>125</v>
      </c>
      <c r="F240" s="163">
        <v>110</v>
      </c>
      <c r="G240" s="163">
        <v>94</v>
      </c>
      <c r="H240" s="163">
        <v>88</v>
      </c>
      <c r="I240" s="163">
        <v>81</v>
      </c>
      <c r="J240" s="163">
        <v>85</v>
      </c>
      <c r="K240" s="163">
        <v>86</v>
      </c>
      <c r="L240" s="163">
        <v>86</v>
      </c>
      <c r="M240" s="164">
        <v>85</v>
      </c>
      <c r="N240" s="174">
        <f t="shared" si="9"/>
        <v>97.583333333333329</v>
      </c>
      <c r="O240" s="134" t="s">
        <v>493</v>
      </c>
      <c r="P240" s="134"/>
      <c r="Q240" s="134"/>
    </row>
    <row r="241" spans="1:17" ht="15.75" thickBot="1" x14ac:dyDescent="0.3">
      <c r="A241" s="145" t="s">
        <v>433</v>
      </c>
      <c r="B241" s="162">
        <v>80</v>
      </c>
      <c r="C241" s="163">
        <v>95</v>
      </c>
      <c r="D241" s="163">
        <v>112</v>
      </c>
      <c r="E241" s="163">
        <v>125</v>
      </c>
      <c r="F241" s="163">
        <v>138</v>
      </c>
      <c r="G241" s="163">
        <v>139</v>
      </c>
      <c r="H241" s="163">
        <v>140</v>
      </c>
      <c r="I241" s="163">
        <v>131</v>
      </c>
      <c r="J241" s="163">
        <v>116</v>
      </c>
      <c r="K241" s="163">
        <v>95</v>
      </c>
      <c r="L241" s="163">
        <v>80</v>
      </c>
      <c r="M241" s="164">
        <v>72</v>
      </c>
      <c r="N241" s="174">
        <f t="shared" si="9"/>
        <v>110.25</v>
      </c>
      <c r="O241" s="134" t="s">
        <v>491</v>
      </c>
      <c r="P241" s="134"/>
      <c r="Q241" s="134"/>
    </row>
    <row r="242" spans="1:17" ht="15.75" thickBot="1" x14ac:dyDescent="0.3">
      <c r="A242" s="145" t="s">
        <v>434</v>
      </c>
      <c r="B242" s="162">
        <v>52</v>
      </c>
      <c r="C242" s="163">
        <v>68</v>
      </c>
      <c r="D242" s="163">
        <v>83</v>
      </c>
      <c r="E242" s="163">
        <v>103</v>
      </c>
      <c r="F242" s="163">
        <v>108</v>
      </c>
      <c r="G242" s="163">
        <v>100</v>
      </c>
      <c r="H242" s="163">
        <v>99</v>
      </c>
      <c r="I242" s="163">
        <v>98</v>
      </c>
      <c r="J242" s="163">
        <v>94</v>
      </c>
      <c r="K242" s="163">
        <v>76</v>
      </c>
      <c r="L242" s="163">
        <v>60</v>
      </c>
      <c r="M242" s="164">
        <v>52</v>
      </c>
      <c r="N242" s="174">
        <f t="shared" si="9"/>
        <v>82.75</v>
      </c>
      <c r="O242" s="134" t="s">
        <v>490</v>
      </c>
      <c r="P242" s="134"/>
      <c r="Q242" s="134"/>
    </row>
    <row r="243" spans="1:17" ht="15.75" thickBot="1" x14ac:dyDescent="0.3">
      <c r="A243" s="145" t="s">
        <v>435</v>
      </c>
      <c r="B243" s="162">
        <v>48</v>
      </c>
      <c r="C243" s="163">
        <v>54</v>
      </c>
      <c r="D243" s="163">
        <v>64</v>
      </c>
      <c r="E243" s="163">
        <v>90</v>
      </c>
      <c r="F243" s="163">
        <v>118</v>
      </c>
      <c r="G243" s="163">
        <v>135</v>
      </c>
      <c r="H243" s="163">
        <v>139</v>
      </c>
      <c r="I243" s="163">
        <v>120</v>
      </c>
      <c r="J243" s="163">
        <v>102</v>
      </c>
      <c r="K243" s="163">
        <v>78</v>
      </c>
      <c r="L243" s="163">
        <v>63</v>
      </c>
      <c r="M243" s="164">
        <v>55</v>
      </c>
      <c r="N243" s="174">
        <f t="shared" si="9"/>
        <v>88.833333333333329</v>
      </c>
      <c r="O243" s="134" t="s">
        <v>492</v>
      </c>
      <c r="P243" s="134"/>
      <c r="Q243" s="134"/>
    </row>
    <row r="244" spans="1:17" ht="15.75" thickBot="1" x14ac:dyDescent="0.3">
      <c r="A244" s="145" t="s">
        <v>436</v>
      </c>
      <c r="B244" s="162">
        <v>48</v>
      </c>
      <c r="C244" s="163">
        <v>54</v>
      </c>
      <c r="D244" s="163">
        <v>64</v>
      </c>
      <c r="E244" s="163">
        <v>90</v>
      </c>
      <c r="F244" s="163">
        <v>118</v>
      </c>
      <c r="G244" s="163">
        <v>135</v>
      </c>
      <c r="H244" s="163">
        <v>139</v>
      </c>
      <c r="I244" s="163">
        <v>120</v>
      </c>
      <c r="J244" s="163">
        <v>102</v>
      </c>
      <c r="K244" s="163">
        <v>78</v>
      </c>
      <c r="L244" s="163">
        <v>63</v>
      </c>
      <c r="M244" s="164">
        <v>55</v>
      </c>
      <c r="N244" s="174">
        <f t="shared" si="9"/>
        <v>88.833333333333329</v>
      </c>
      <c r="O244" s="134" t="s">
        <v>492</v>
      </c>
      <c r="P244" s="134"/>
      <c r="Q244" s="134"/>
    </row>
    <row r="245" spans="1:17" ht="15.75" thickBot="1" x14ac:dyDescent="0.3">
      <c r="A245" s="145" t="s">
        <v>437</v>
      </c>
      <c r="B245" s="162">
        <v>51</v>
      </c>
      <c r="C245" s="163">
        <v>52</v>
      </c>
      <c r="D245" s="163">
        <v>60</v>
      </c>
      <c r="E245" s="163">
        <v>80</v>
      </c>
      <c r="F245" s="163">
        <v>115</v>
      </c>
      <c r="G245" s="163">
        <v>123</v>
      </c>
      <c r="H245" s="163">
        <v>125</v>
      </c>
      <c r="I245" s="163">
        <v>108</v>
      </c>
      <c r="J245" s="163">
        <v>102</v>
      </c>
      <c r="K245" s="163">
        <v>85</v>
      </c>
      <c r="L245" s="163">
        <v>70</v>
      </c>
      <c r="M245" s="164">
        <v>57</v>
      </c>
      <c r="N245" s="174">
        <f t="shared" si="9"/>
        <v>85.666666666666671</v>
      </c>
      <c r="O245" s="134" t="s">
        <v>487</v>
      </c>
      <c r="P245" s="134"/>
      <c r="Q245" s="134"/>
    </row>
    <row r="246" spans="1:17" ht="15.75" thickBot="1" x14ac:dyDescent="0.3">
      <c r="A246" s="145" t="s">
        <v>438</v>
      </c>
      <c r="B246" s="162">
        <v>48</v>
      </c>
      <c r="C246" s="163">
        <v>54</v>
      </c>
      <c r="D246" s="163">
        <v>64</v>
      </c>
      <c r="E246" s="163">
        <v>85</v>
      </c>
      <c r="F246" s="163">
        <v>108</v>
      </c>
      <c r="G246" s="163">
        <v>110</v>
      </c>
      <c r="H246" s="163">
        <v>112</v>
      </c>
      <c r="I246" s="163">
        <v>108</v>
      </c>
      <c r="J246" s="163">
        <v>100</v>
      </c>
      <c r="K246" s="163">
        <v>75</v>
      </c>
      <c r="L246" s="163">
        <v>60</v>
      </c>
      <c r="M246" s="164">
        <v>52</v>
      </c>
      <c r="N246" s="174">
        <f t="shared" si="9"/>
        <v>81.333333333333329</v>
      </c>
      <c r="O246" s="134" t="s">
        <v>489</v>
      </c>
      <c r="P246" s="134"/>
      <c r="Q246" s="134"/>
    </row>
    <row r="247" spans="1:17" ht="15.75" thickBot="1" x14ac:dyDescent="0.3">
      <c r="A247" s="145" t="s">
        <v>439</v>
      </c>
      <c r="B247" s="162">
        <v>51</v>
      </c>
      <c r="C247" s="163">
        <v>52</v>
      </c>
      <c r="D247" s="163">
        <v>60</v>
      </c>
      <c r="E247" s="163">
        <v>80</v>
      </c>
      <c r="F247" s="163">
        <v>115</v>
      </c>
      <c r="G247" s="163">
        <v>123</v>
      </c>
      <c r="H247" s="163">
        <v>125</v>
      </c>
      <c r="I247" s="163">
        <v>108</v>
      </c>
      <c r="J247" s="163">
        <v>102</v>
      </c>
      <c r="K247" s="163">
        <v>85</v>
      </c>
      <c r="L247" s="163">
        <v>70</v>
      </c>
      <c r="M247" s="164">
        <v>57</v>
      </c>
      <c r="N247" s="174">
        <f t="shared" si="9"/>
        <v>85.666666666666671</v>
      </c>
      <c r="O247" s="134" t="s">
        <v>487</v>
      </c>
      <c r="P247" s="134"/>
      <c r="Q247" s="134"/>
    </row>
    <row r="248" spans="1:17" ht="15.75" thickBot="1" x14ac:dyDescent="0.3">
      <c r="A248" s="145" t="s">
        <v>440</v>
      </c>
      <c r="B248" s="162">
        <v>48</v>
      </c>
      <c r="C248" s="163">
        <v>54</v>
      </c>
      <c r="D248" s="163">
        <v>64</v>
      </c>
      <c r="E248" s="163">
        <v>90</v>
      </c>
      <c r="F248" s="163">
        <v>118</v>
      </c>
      <c r="G248" s="163">
        <v>135</v>
      </c>
      <c r="H248" s="163">
        <v>139</v>
      </c>
      <c r="I248" s="163">
        <v>120</v>
      </c>
      <c r="J248" s="163">
        <v>102</v>
      </c>
      <c r="K248" s="163">
        <v>78</v>
      </c>
      <c r="L248" s="163">
        <v>63</v>
      </c>
      <c r="M248" s="164">
        <v>55</v>
      </c>
      <c r="N248" s="174">
        <f t="shared" si="9"/>
        <v>88.833333333333329</v>
      </c>
      <c r="O248" s="134" t="s">
        <v>492</v>
      </c>
      <c r="P248" s="134"/>
      <c r="Q248" s="134"/>
    </row>
    <row r="249" spans="1:17" ht="15.75" thickBot="1" x14ac:dyDescent="0.3">
      <c r="A249" s="145" t="s">
        <v>441</v>
      </c>
      <c r="B249" s="162">
        <v>51</v>
      </c>
      <c r="C249" s="163">
        <v>52</v>
      </c>
      <c r="D249" s="163">
        <v>60</v>
      </c>
      <c r="E249" s="163">
        <v>80</v>
      </c>
      <c r="F249" s="163">
        <v>115</v>
      </c>
      <c r="G249" s="163">
        <v>123</v>
      </c>
      <c r="H249" s="163">
        <v>125</v>
      </c>
      <c r="I249" s="163">
        <v>108</v>
      </c>
      <c r="J249" s="163">
        <v>102</v>
      </c>
      <c r="K249" s="163">
        <v>85</v>
      </c>
      <c r="L249" s="163">
        <v>70</v>
      </c>
      <c r="M249" s="164">
        <v>57</v>
      </c>
      <c r="N249" s="174">
        <f t="shared" si="9"/>
        <v>85.666666666666671</v>
      </c>
      <c r="O249" s="134" t="s">
        <v>487</v>
      </c>
      <c r="P249" s="134"/>
      <c r="Q249" s="134"/>
    </row>
    <row r="250" spans="1:17" ht="15.75" thickBot="1" x14ac:dyDescent="0.3">
      <c r="A250" s="145" t="s">
        <v>442</v>
      </c>
      <c r="B250" s="162">
        <v>52</v>
      </c>
      <c r="C250" s="163">
        <v>68</v>
      </c>
      <c r="D250" s="163">
        <v>83</v>
      </c>
      <c r="E250" s="163">
        <v>103</v>
      </c>
      <c r="F250" s="163">
        <v>108</v>
      </c>
      <c r="G250" s="163">
        <v>100</v>
      </c>
      <c r="H250" s="163">
        <v>99</v>
      </c>
      <c r="I250" s="163">
        <v>98</v>
      </c>
      <c r="J250" s="163">
        <v>94</v>
      </c>
      <c r="K250" s="163">
        <v>76</v>
      </c>
      <c r="L250" s="163">
        <v>60</v>
      </c>
      <c r="M250" s="164">
        <v>52</v>
      </c>
      <c r="N250" s="174">
        <f t="shared" si="9"/>
        <v>82.75</v>
      </c>
      <c r="O250" s="134" t="s">
        <v>490</v>
      </c>
      <c r="P250" s="134"/>
      <c r="Q250" s="134"/>
    </row>
    <row r="251" spans="1:17" ht="15.75" thickBot="1" x14ac:dyDescent="0.3">
      <c r="A251" s="145" t="s">
        <v>443</v>
      </c>
      <c r="B251" s="162">
        <v>48</v>
      </c>
      <c r="C251" s="163">
        <v>54</v>
      </c>
      <c r="D251" s="163">
        <v>64</v>
      </c>
      <c r="E251" s="163">
        <v>85</v>
      </c>
      <c r="F251" s="163">
        <v>108</v>
      </c>
      <c r="G251" s="163">
        <v>110</v>
      </c>
      <c r="H251" s="163">
        <v>112</v>
      </c>
      <c r="I251" s="163">
        <v>108</v>
      </c>
      <c r="J251" s="163">
        <v>100</v>
      </c>
      <c r="K251" s="163">
        <v>75</v>
      </c>
      <c r="L251" s="163">
        <v>60</v>
      </c>
      <c r="M251" s="164">
        <v>52</v>
      </c>
      <c r="N251" s="174">
        <f t="shared" si="9"/>
        <v>81.333333333333329</v>
      </c>
      <c r="O251" s="134" t="s">
        <v>489</v>
      </c>
      <c r="P251" s="134"/>
      <c r="Q251" s="134"/>
    </row>
    <row r="252" spans="1:17" ht="15.75" thickBot="1" x14ac:dyDescent="0.3">
      <c r="A252" s="145" t="s">
        <v>444</v>
      </c>
      <c r="B252" s="162">
        <v>48</v>
      </c>
      <c r="C252" s="163">
        <v>54</v>
      </c>
      <c r="D252" s="163">
        <v>64</v>
      </c>
      <c r="E252" s="163">
        <v>85</v>
      </c>
      <c r="F252" s="163">
        <v>108</v>
      </c>
      <c r="G252" s="163">
        <v>110</v>
      </c>
      <c r="H252" s="163">
        <v>112</v>
      </c>
      <c r="I252" s="163">
        <v>108</v>
      </c>
      <c r="J252" s="163">
        <v>100</v>
      </c>
      <c r="K252" s="163">
        <v>75</v>
      </c>
      <c r="L252" s="163">
        <v>60</v>
      </c>
      <c r="M252" s="164">
        <v>52</v>
      </c>
      <c r="N252" s="174">
        <f t="shared" si="9"/>
        <v>81.333333333333329</v>
      </c>
      <c r="O252" s="134" t="s">
        <v>489</v>
      </c>
      <c r="P252" s="134"/>
      <c r="Q252" s="134"/>
    </row>
    <row r="253" spans="1:17" ht="15.75" thickBot="1" x14ac:dyDescent="0.3">
      <c r="A253" s="145" t="s">
        <v>445</v>
      </c>
      <c r="B253" s="162">
        <v>48</v>
      </c>
      <c r="C253" s="163">
        <v>54</v>
      </c>
      <c r="D253" s="163">
        <v>64</v>
      </c>
      <c r="E253" s="163">
        <v>90</v>
      </c>
      <c r="F253" s="163">
        <v>118</v>
      </c>
      <c r="G253" s="163">
        <v>135</v>
      </c>
      <c r="H253" s="163">
        <v>139</v>
      </c>
      <c r="I253" s="163">
        <v>120</v>
      </c>
      <c r="J253" s="163">
        <v>102</v>
      </c>
      <c r="K253" s="163">
        <v>78</v>
      </c>
      <c r="L253" s="163">
        <v>63</v>
      </c>
      <c r="M253" s="164">
        <v>55</v>
      </c>
      <c r="N253" s="174">
        <f t="shared" si="9"/>
        <v>88.833333333333329</v>
      </c>
      <c r="O253" s="134" t="s">
        <v>492</v>
      </c>
      <c r="P253" s="134"/>
      <c r="Q253" s="134"/>
    </row>
    <row r="254" spans="1:17" ht="15.75" thickBot="1" x14ac:dyDescent="0.3">
      <c r="A254" s="145" t="s">
        <v>446</v>
      </c>
      <c r="B254" s="162">
        <v>51</v>
      </c>
      <c r="C254" s="163">
        <v>52</v>
      </c>
      <c r="D254" s="163">
        <v>60</v>
      </c>
      <c r="E254" s="163">
        <v>80</v>
      </c>
      <c r="F254" s="163">
        <v>115</v>
      </c>
      <c r="G254" s="163">
        <v>123</v>
      </c>
      <c r="H254" s="163">
        <v>125</v>
      </c>
      <c r="I254" s="163">
        <v>108</v>
      </c>
      <c r="J254" s="163">
        <v>102</v>
      </c>
      <c r="K254" s="163">
        <v>85</v>
      </c>
      <c r="L254" s="163">
        <v>70</v>
      </c>
      <c r="M254" s="164">
        <v>57</v>
      </c>
      <c r="N254" s="174">
        <f t="shared" si="9"/>
        <v>85.666666666666671</v>
      </c>
      <c r="O254" s="134" t="s">
        <v>487</v>
      </c>
      <c r="P254" s="134"/>
      <c r="Q254" s="134"/>
    </row>
    <row r="255" spans="1:17" ht="15.75" thickBot="1" x14ac:dyDescent="0.3">
      <c r="A255" s="145" t="s">
        <v>447</v>
      </c>
      <c r="B255" s="162">
        <v>96</v>
      </c>
      <c r="C255" s="163">
        <v>110</v>
      </c>
      <c r="D255" s="163">
        <v>125</v>
      </c>
      <c r="E255" s="163">
        <v>125</v>
      </c>
      <c r="F255" s="163">
        <v>110</v>
      </c>
      <c r="G255" s="163">
        <v>94</v>
      </c>
      <c r="H255" s="163">
        <v>88</v>
      </c>
      <c r="I255" s="163">
        <v>81</v>
      </c>
      <c r="J255" s="163">
        <v>85</v>
      </c>
      <c r="K255" s="163">
        <v>86</v>
      </c>
      <c r="L255" s="163">
        <v>86</v>
      </c>
      <c r="M255" s="164">
        <v>85</v>
      </c>
      <c r="N255" s="174">
        <f t="shared" si="9"/>
        <v>97.583333333333329</v>
      </c>
      <c r="O255" s="134" t="s">
        <v>493</v>
      </c>
      <c r="P255" s="134"/>
      <c r="Q255" s="134"/>
    </row>
    <row r="256" spans="1:17" ht="15.75" thickBot="1" x14ac:dyDescent="0.3">
      <c r="A256" s="145" t="s">
        <v>448</v>
      </c>
      <c r="B256" s="162">
        <v>52</v>
      </c>
      <c r="C256" s="163">
        <v>68</v>
      </c>
      <c r="D256" s="163">
        <v>83</v>
      </c>
      <c r="E256" s="163">
        <v>103</v>
      </c>
      <c r="F256" s="163">
        <v>108</v>
      </c>
      <c r="G256" s="163">
        <v>100</v>
      </c>
      <c r="H256" s="163">
        <v>99</v>
      </c>
      <c r="I256" s="163">
        <v>98</v>
      </c>
      <c r="J256" s="163">
        <v>94</v>
      </c>
      <c r="K256" s="163">
        <v>76</v>
      </c>
      <c r="L256" s="163">
        <v>60</v>
      </c>
      <c r="M256" s="164">
        <v>52</v>
      </c>
      <c r="N256" s="174">
        <f t="shared" si="9"/>
        <v>82.75</v>
      </c>
      <c r="O256" s="134" t="s">
        <v>490</v>
      </c>
      <c r="P256" s="134"/>
      <c r="Q256" s="134"/>
    </row>
    <row r="257" spans="1:17" ht="15.75" thickBot="1" x14ac:dyDescent="0.3">
      <c r="A257" s="145" t="s">
        <v>449</v>
      </c>
      <c r="B257" s="162">
        <v>48</v>
      </c>
      <c r="C257" s="163">
        <v>54</v>
      </c>
      <c r="D257" s="163">
        <v>64</v>
      </c>
      <c r="E257" s="163">
        <v>85</v>
      </c>
      <c r="F257" s="163">
        <v>108</v>
      </c>
      <c r="G257" s="163">
        <v>110</v>
      </c>
      <c r="H257" s="163">
        <v>112</v>
      </c>
      <c r="I257" s="163">
        <v>108</v>
      </c>
      <c r="J257" s="163">
        <v>100</v>
      </c>
      <c r="K257" s="163">
        <v>75</v>
      </c>
      <c r="L257" s="163">
        <v>60</v>
      </c>
      <c r="M257" s="164">
        <v>52</v>
      </c>
      <c r="N257" s="174">
        <f t="shared" si="9"/>
        <v>81.333333333333329</v>
      </c>
      <c r="O257" s="134" t="s">
        <v>489</v>
      </c>
      <c r="P257" s="134"/>
      <c r="Q257" s="134"/>
    </row>
    <row r="258" spans="1:17" ht="15.75" thickBot="1" x14ac:dyDescent="0.3">
      <c r="A258" s="145" t="s">
        <v>450</v>
      </c>
      <c r="B258" s="162">
        <v>52</v>
      </c>
      <c r="C258" s="163">
        <v>68</v>
      </c>
      <c r="D258" s="163">
        <v>83</v>
      </c>
      <c r="E258" s="163">
        <v>103</v>
      </c>
      <c r="F258" s="163">
        <v>108</v>
      </c>
      <c r="G258" s="163">
        <v>100</v>
      </c>
      <c r="H258" s="163">
        <v>99</v>
      </c>
      <c r="I258" s="163">
        <v>98</v>
      </c>
      <c r="J258" s="163">
        <v>94</v>
      </c>
      <c r="K258" s="163">
        <v>76</v>
      </c>
      <c r="L258" s="163">
        <v>60</v>
      </c>
      <c r="M258" s="164">
        <v>52</v>
      </c>
      <c r="N258" s="174">
        <f t="shared" si="9"/>
        <v>82.75</v>
      </c>
      <c r="O258" s="134" t="s">
        <v>490</v>
      </c>
      <c r="P258" s="134"/>
      <c r="Q258" s="134"/>
    </row>
    <row r="259" spans="1:17" ht="15.75" thickBot="1" x14ac:dyDescent="0.3">
      <c r="A259" s="145" t="s">
        <v>451</v>
      </c>
      <c r="B259" s="162">
        <v>115</v>
      </c>
      <c r="C259" s="163">
        <v>130</v>
      </c>
      <c r="D259" s="163">
        <v>141</v>
      </c>
      <c r="E259" s="163">
        <v>143</v>
      </c>
      <c r="F259" s="163">
        <v>125</v>
      </c>
      <c r="G259" s="163">
        <v>110</v>
      </c>
      <c r="H259" s="163">
        <v>110</v>
      </c>
      <c r="I259" s="163">
        <v>108</v>
      </c>
      <c r="J259" s="163">
        <v>107</v>
      </c>
      <c r="K259" s="163">
        <v>100</v>
      </c>
      <c r="L259" s="163">
        <v>103</v>
      </c>
      <c r="M259" s="164">
        <v>100</v>
      </c>
      <c r="N259" s="174">
        <f t="shared" si="9"/>
        <v>116</v>
      </c>
      <c r="O259" s="134" t="s">
        <v>488</v>
      </c>
      <c r="P259" s="134"/>
      <c r="Q259" s="134"/>
    </row>
    <row r="260" spans="1:17" ht="15.75" thickBot="1" x14ac:dyDescent="0.3">
      <c r="A260" s="145" t="s">
        <v>452</v>
      </c>
      <c r="B260" s="162">
        <v>115</v>
      </c>
      <c r="C260" s="163">
        <v>130</v>
      </c>
      <c r="D260" s="163">
        <v>141</v>
      </c>
      <c r="E260" s="163">
        <v>143</v>
      </c>
      <c r="F260" s="163">
        <v>125</v>
      </c>
      <c r="G260" s="163">
        <v>110</v>
      </c>
      <c r="H260" s="163">
        <v>110</v>
      </c>
      <c r="I260" s="163">
        <v>108</v>
      </c>
      <c r="J260" s="163">
        <v>107</v>
      </c>
      <c r="K260" s="163">
        <v>100</v>
      </c>
      <c r="L260" s="163">
        <v>103</v>
      </c>
      <c r="M260" s="164">
        <v>100</v>
      </c>
      <c r="N260" s="174">
        <f t="shared" si="9"/>
        <v>116</v>
      </c>
      <c r="O260" s="134" t="s">
        <v>488</v>
      </c>
      <c r="P260" s="134"/>
      <c r="Q260" s="134"/>
    </row>
    <row r="261" spans="1:17" ht="15.75" thickBot="1" x14ac:dyDescent="0.3">
      <c r="A261" s="145" t="s">
        <v>453</v>
      </c>
      <c r="B261" s="162">
        <v>51</v>
      </c>
      <c r="C261" s="163">
        <v>52</v>
      </c>
      <c r="D261" s="163">
        <v>60</v>
      </c>
      <c r="E261" s="163">
        <v>80</v>
      </c>
      <c r="F261" s="163">
        <v>115</v>
      </c>
      <c r="G261" s="163">
        <v>123</v>
      </c>
      <c r="H261" s="163">
        <v>125</v>
      </c>
      <c r="I261" s="163">
        <v>108</v>
      </c>
      <c r="J261" s="163">
        <v>102</v>
      </c>
      <c r="K261" s="163">
        <v>85</v>
      </c>
      <c r="L261" s="163">
        <v>70</v>
      </c>
      <c r="M261" s="164">
        <v>57</v>
      </c>
      <c r="N261" s="174">
        <f t="shared" si="9"/>
        <v>85.666666666666671</v>
      </c>
      <c r="O261" s="134" t="s">
        <v>487</v>
      </c>
      <c r="P261" s="134"/>
      <c r="Q261" s="134"/>
    </row>
    <row r="262" spans="1:17" ht="15.75" thickBot="1" x14ac:dyDescent="0.3">
      <c r="A262" s="145" t="s">
        <v>454</v>
      </c>
      <c r="B262" s="162">
        <v>80</v>
      </c>
      <c r="C262" s="163">
        <v>95</v>
      </c>
      <c r="D262" s="163">
        <v>112</v>
      </c>
      <c r="E262" s="163">
        <v>125</v>
      </c>
      <c r="F262" s="163">
        <v>138</v>
      </c>
      <c r="G262" s="163">
        <v>139</v>
      </c>
      <c r="H262" s="163">
        <v>140</v>
      </c>
      <c r="I262" s="163">
        <v>131</v>
      </c>
      <c r="J262" s="163">
        <v>116</v>
      </c>
      <c r="K262" s="163">
        <v>95</v>
      </c>
      <c r="L262" s="163">
        <v>80</v>
      </c>
      <c r="M262" s="164">
        <v>72</v>
      </c>
      <c r="N262" s="174">
        <f t="shared" si="9"/>
        <v>110.25</v>
      </c>
      <c r="O262" s="134" t="s">
        <v>491</v>
      </c>
      <c r="P262" s="134"/>
      <c r="Q262" s="134"/>
    </row>
    <row r="263" spans="1:17" ht="15.75" thickBot="1" x14ac:dyDescent="0.3">
      <c r="A263" s="145" t="s">
        <v>455</v>
      </c>
      <c r="B263" s="162">
        <v>51</v>
      </c>
      <c r="C263" s="163">
        <v>52</v>
      </c>
      <c r="D263" s="163">
        <v>60</v>
      </c>
      <c r="E263" s="163">
        <v>80</v>
      </c>
      <c r="F263" s="163">
        <v>115</v>
      </c>
      <c r="G263" s="163">
        <v>123</v>
      </c>
      <c r="H263" s="163">
        <v>125</v>
      </c>
      <c r="I263" s="163">
        <v>108</v>
      </c>
      <c r="J263" s="163">
        <v>102</v>
      </c>
      <c r="K263" s="163">
        <v>85</v>
      </c>
      <c r="L263" s="163">
        <v>70</v>
      </c>
      <c r="M263" s="164">
        <v>57</v>
      </c>
      <c r="N263" s="174">
        <f t="shared" si="9"/>
        <v>85.666666666666671</v>
      </c>
      <c r="O263" s="134" t="s">
        <v>487</v>
      </c>
      <c r="P263" s="134"/>
      <c r="Q263" s="134"/>
    </row>
    <row r="264" spans="1:17" ht="15.75" thickBot="1" x14ac:dyDescent="0.3">
      <c r="A264" s="145" t="s">
        <v>456</v>
      </c>
      <c r="B264" s="162">
        <v>80</v>
      </c>
      <c r="C264" s="163">
        <v>95</v>
      </c>
      <c r="D264" s="163">
        <v>112</v>
      </c>
      <c r="E264" s="163">
        <v>125</v>
      </c>
      <c r="F264" s="163">
        <v>138</v>
      </c>
      <c r="G264" s="163">
        <v>139</v>
      </c>
      <c r="H264" s="163">
        <v>140</v>
      </c>
      <c r="I264" s="163">
        <v>131</v>
      </c>
      <c r="J264" s="163">
        <v>116</v>
      </c>
      <c r="K264" s="163">
        <v>95</v>
      </c>
      <c r="L264" s="163">
        <v>80</v>
      </c>
      <c r="M264" s="164">
        <v>72</v>
      </c>
      <c r="N264" s="174">
        <f t="shared" si="9"/>
        <v>110.25</v>
      </c>
      <c r="O264" s="134" t="s">
        <v>491</v>
      </c>
      <c r="P264" s="134"/>
      <c r="Q264" s="134"/>
    </row>
    <row r="265" spans="1:17" ht="15.75" thickBot="1" x14ac:dyDescent="0.3">
      <c r="A265" s="145" t="s">
        <v>457</v>
      </c>
      <c r="B265" s="162">
        <v>51</v>
      </c>
      <c r="C265" s="163">
        <v>52</v>
      </c>
      <c r="D265" s="163">
        <v>60</v>
      </c>
      <c r="E265" s="163">
        <v>80</v>
      </c>
      <c r="F265" s="163">
        <v>115</v>
      </c>
      <c r="G265" s="163">
        <v>123</v>
      </c>
      <c r="H265" s="163">
        <v>125</v>
      </c>
      <c r="I265" s="163">
        <v>108</v>
      </c>
      <c r="J265" s="163">
        <v>102</v>
      </c>
      <c r="K265" s="163">
        <v>85</v>
      </c>
      <c r="L265" s="163">
        <v>70</v>
      </c>
      <c r="M265" s="164">
        <v>57</v>
      </c>
      <c r="N265" s="174">
        <f t="shared" si="9"/>
        <v>85.666666666666671</v>
      </c>
      <c r="O265" s="134" t="s">
        <v>487</v>
      </c>
      <c r="P265" s="134"/>
      <c r="Q265" s="134"/>
    </row>
    <row r="266" spans="1:17" ht="15.75" thickBot="1" x14ac:dyDescent="0.3">
      <c r="A266" s="145" t="s">
        <v>458</v>
      </c>
      <c r="B266" s="162">
        <v>115</v>
      </c>
      <c r="C266" s="163">
        <v>130</v>
      </c>
      <c r="D266" s="163">
        <v>141</v>
      </c>
      <c r="E266" s="163">
        <v>143</v>
      </c>
      <c r="F266" s="163">
        <v>125</v>
      </c>
      <c r="G266" s="163">
        <v>110</v>
      </c>
      <c r="H266" s="163">
        <v>110</v>
      </c>
      <c r="I266" s="163">
        <v>108</v>
      </c>
      <c r="J266" s="163">
        <v>107</v>
      </c>
      <c r="K266" s="163">
        <v>100</v>
      </c>
      <c r="L266" s="163">
        <v>103</v>
      </c>
      <c r="M266" s="164">
        <v>100</v>
      </c>
      <c r="N266" s="174">
        <f t="shared" si="9"/>
        <v>116</v>
      </c>
      <c r="O266" s="134" t="s">
        <v>495</v>
      </c>
      <c r="P266" s="134"/>
      <c r="Q266" s="134"/>
    </row>
    <row r="267" spans="1:17" ht="15.75" thickBot="1" x14ac:dyDescent="0.3">
      <c r="A267" s="145" t="s">
        <v>459</v>
      </c>
      <c r="B267" s="162">
        <v>120</v>
      </c>
      <c r="C267" s="163">
        <v>135</v>
      </c>
      <c r="D267" s="163">
        <v>145</v>
      </c>
      <c r="E267" s="163">
        <v>147</v>
      </c>
      <c r="F267" s="163">
        <v>136</v>
      </c>
      <c r="G267" s="163">
        <v>120</v>
      </c>
      <c r="H267" s="163">
        <v>118</v>
      </c>
      <c r="I267" s="163">
        <v>114</v>
      </c>
      <c r="J267" s="163">
        <v>112</v>
      </c>
      <c r="K267" s="163">
        <v>107</v>
      </c>
      <c r="L267" s="163">
        <v>106</v>
      </c>
      <c r="M267" s="164">
        <v>104</v>
      </c>
      <c r="N267" s="174">
        <f t="shared" si="9"/>
        <v>122</v>
      </c>
      <c r="O267" s="134" t="s">
        <v>494</v>
      </c>
      <c r="P267" s="134"/>
      <c r="Q267" s="134"/>
    </row>
    <row r="268" spans="1:17" ht="15.75" thickBot="1" x14ac:dyDescent="0.3">
      <c r="A268" s="145" t="s">
        <v>460</v>
      </c>
      <c r="B268" s="162">
        <v>96</v>
      </c>
      <c r="C268" s="163">
        <v>110</v>
      </c>
      <c r="D268" s="163">
        <v>125</v>
      </c>
      <c r="E268" s="163">
        <v>125</v>
      </c>
      <c r="F268" s="163">
        <v>110</v>
      </c>
      <c r="G268" s="163">
        <v>94</v>
      </c>
      <c r="H268" s="163">
        <v>88</v>
      </c>
      <c r="I268" s="163">
        <v>81</v>
      </c>
      <c r="J268" s="163">
        <v>85</v>
      </c>
      <c r="K268" s="163">
        <v>86</v>
      </c>
      <c r="L268" s="163">
        <v>86</v>
      </c>
      <c r="M268" s="164">
        <v>85</v>
      </c>
      <c r="N268" s="174">
        <f t="shared" si="9"/>
        <v>97.583333333333329</v>
      </c>
      <c r="O268" s="134" t="s">
        <v>493</v>
      </c>
      <c r="P268" s="134"/>
      <c r="Q268" s="134"/>
    </row>
    <row r="269" spans="1:17" ht="15.75" thickBot="1" x14ac:dyDescent="0.3">
      <c r="A269" s="145" t="s">
        <v>461</v>
      </c>
      <c r="B269" s="162">
        <v>80</v>
      </c>
      <c r="C269" s="163">
        <v>95</v>
      </c>
      <c r="D269" s="163">
        <v>112</v>
      </c>
      <c r="E269" s="163">
        <v>125</v>
      </c>
      <c r="F269" s="163">
        <v>138</v>
      </c>
      <c r="G269" s="163">
        <v>139</v>
      </c>
      <c r="H269" s="163">
        <v>140</v>
      </c>
      <c r="I269" s="163">
        <v>131</v>
      </c>
      <c r="J269" s="163">
        <v>116</v>
      </c>
      <c r="K269" s="163">
        <v>95</v>
      </c>
      <c r="L269" s="163">
        <v>80</v>
      </c>
      <c r="M269" s="164">
        <v>72</v>
      </c>
      <c r="N269" s="174">
        <f t="shared" si="9"/>
        <v>110.25</v>
      </c>
      <c r="O269" s="134" t="s">
        <v>491</v>
      </c>
      <c r="P269" s="134"/>
      <c r="Q269" s="134"/>
    </row>
    <row r="270" spans="1:17" ht="15.75" thickBot="1" x14ac:dyDescent="0.3">
      <c r="A270" s="145" t="s">
        <v>462</v>
      </c>
      <c r="B270" s="162">
        <v>80</v>
      </c>
      <c r="C270" s="163">
        <v>95</v>
      </c>
      <c r="D270" s="163">
        <v>112</v>
      </c>
      <c r="E270" s="163">
        <v>125</v>
      </c>
      <c r="F270" s="163">
        <v>138</v>
      </c>
      <c r="G270" s="163">
        <v>139</v>
      </c>
      <c r="H270" s="163">
        <v>140</v>
      </c>
      <c r="I270" s="163">
        <v>131</v>
      </c>
      <c r="J270" s="163">
        <v>116</v>
      </c>
      <c r="K270" s="163">
        <v>95</v>
      </c>
      <c r="L270" s="163">
        <v>80</v>
      </c>
      <c r="M270" s="164">
        <v>72</v>
      </c>
      <c r="N270" s="174">
        <f t="shared" si="9"/>
        <v>110.25</v>
      </c>
      <c r="O270" s="134" t="s">
        <v>491</v>
      </c>
      <c r="P270" s="134"/>
      <c r="Q270" s="134"/>
    </row>
    <row r="271" spans="1:17" ht="15.75" thickBot="1" x14ac:dyDescent="0.3">
      <c r="A271" s="145" t="s">
        <v>463</v>
      </c>
      <c r="B271" s="162">
        <v>115</v>
      </c>
      <c r="C271" s="163">
        <v>130</v>
      </c>
      <c r="D271" s="163">
        <v>141</v>
      </c>
      <c r="E271" s="163">
        <v>143</v>
      </c>
      <c r="F271" s="163">
        <v>125</v>
      </c>
      <c r="G271" s="163">
        <v>110</v>
      </c>
      <c r="H271" s="163">
        <v>110</v>
      </c>
      <c r="I271" s="163">
        <v>108</v>
      </c>
      <c r="J271" s="163">
        <v>107</v>
      </c>
      <c r="K271" s="163">
        <v>100</v>
      </c>
      <c r="L271" s="163">
        <v>103</v>
      </c>
      <c r="M271" s="164">
        <v>100</v>
      </c>
      <c r="N271" s="174">
        <f t="shared" si="9"/>
        <v>116</v>
      </c>
      <c r="O271" s="134" t="s">
        <v>488</v>
      </c>
      <c r="P271" s="134"/>
      <c r="Q271" s="134"/>
    </row>
    <row r="272" spans="1:17" ht="15.75" thickBot="1" x14ac:dyDescent="0.3">
      <c r="A272" s="145" t="s">
        <v>464</v>
      </c>
      <c r="B272" s="162">
        <v>52</v>
      </c>
      <c r="C272" s="163">
        <v>68</v>
      </c>
      <c r="D272" s="163">
        <v>83</v>
      </c>
      <c r="E272" s="163">
        <v>103</v>
      </c>
      <c r="F272" s="163">
        <v>108</v>
      </c>
      <c r="G272" s="163">
        <v>100</v>
      </c>
      <c r="H272" s="163">
        <v>99</v>
      </c>
      <c r="I272" s="163">
        <v>98</v>
      </c>
      <c r="J272" s="163">
        <v>94</v>
      </c>
      <c r="K272" s="163">
        <v>76</v>
      </c>
      <c r="L272" s="163">
        <v>60</v>
      </c>
      <c r="M272" s="164">
        <v>52</v>
      </c>
      <c r="N272" s="174">
        <f t="shared" si="9"/>
        <v>82.75</v>
      </c>
      <c r="O272" s="134" t="s">
        <v>490</v>
      </c>
      <c r="P272" s="134"/>
      <c r="Q272" s="134"/>
    </row>
    <row r="273" spans="1:17" ht="15.75" thickBot="1" x14ac:dyDescent="0.3">
      <c r="A273" s="145" t="s">
        <v>465</v>
      </c>
      <c r="B273" s="162">
        <v>115</v>
      </c>
      <c r="C273" s="163">
        <v>130</v>
      </c>
      <c r="D273" s="163">
        <v>141</v>
      </c>
      <c r="E273" s="163">
        <v>143</v>
      </c>
      <c r="F273" s="163">
        <v>125</v>
      </c>
      <c r="G273" s="163">
        <v>110</v>
      </c>
      <c r="H273" s="163">
        <v>110</v>
      </c>
      <c r="I273" s="163">
        <v>108</v>
      </c>
      <c r="J273" s="163">
        <v>107</v>
      </c>
      <c r="K273" s="163">
        <v>100</v>
      </c>
      <c r="L273" s="163">
        <v>103</v>
      </c>
      <c r="M273" s="164">
        <v>100</v>
      </c>
      <c r="N273" s="174">
        <f t="shared" si="9"/>
        <v>116</v>
      </c>
      <c r="O273" s="134" t="s">
        <v>488</v>
      </c>
      <c r="P273" s="134"/>
      <c r="Q273" s="134"/>
    </row>
    <row r="274" spans="1:17" ht="15.75" thickBot="1" x14ac:dyDescent="0.3">
      <c r="A274" s="145" t="s">
        <v>466</v>
      </c>
      <c r="B274" s="162">
        <v>52</v>
      </c>
      <c r="C274" s="163">
        <v>68</v>
      </c>
      <c r="D274" s="163">
        <v>83</v>
      </c>
      <c r="E274" s="163">
        <v>103</v>
      </c>
      <c r="F274" s="163">
        <v>108</v>
      </c>
      <c r="G274" s="163">
        <v>100</v>
      </c>
      <c r="H274" s="163">
        <v>99</v>
      </c>
      <c r="I274" s="163">
        <v>98</v>
      </c>
      <c r="J274" s="163">
        <v>94</v>
      </c>
      <c r="K274" s="163">
        <v>76</v>
      </c>
      <c r="L274" s="163">
        <v>60</v>
      </c>
      <c r="M274" s="164">
        <v>52</v>
      </c>
      <c r="N274" s="174">
        <f t="shared" si="9"/>
        <v>82.75</v>
      </c>
      <c r="O274" s="134" t="s">
        <v>490</v>
      </c>
      <c r="P274" s="134"/>
      <c r="Q274" s="134"/>
    </row>
    <row r="275" spans="1:17" ht="15.75" thickBot="1" x14ac:dyDescent="0.3">
      <c r="A275" s="145" t="s">
        <v>467</v>
      </c>
      <c r="B275" s="162">
        <v>51</v>
      </c>
      <c r="C275" s="163">
        <v>52</v>
      </c>
      <c r="D275" s="163">
        <v>60</v>
      </c>
      <c r="E275" s="163">
        <v>80</v>
      </c>
      <c r="F275" s="163">
        <v>115</v>
      </c>
      <c r="G275" s="163">
        <v>123</v>
      </c>
      <c r="H275" s="163">
        <v>125</v>
      </c>
      <c r="I275" s="163">
        <v>108</v>
      </c>
      <c r="J275" s="163">
        <v>102</v>
      </c>
      <c r="K275" s="163">
        <v>85</v>
      </c>
      <c r="L275" s="163">
        <v>70</v>
      </c>
      <c r="M275" s="164">
        <v>57</v>
      </c>
      <c r="N275" s="174">
        <f t="shared" si="9"/>
        <v>85.666666666666671</v>
      </c>
      <c r="O275" s="134" t="s">
        <v>487</v>
      </c>
      <c r="P275" s="134"/>
      <c r="Q275" s="134"/>
    </row>
    <row r="276" spans="1:17" ht="15.75" thickBot="1" x14ac:dyDescent="0.3">
      <c r="A276" s="145" t="s">
        <v>468</v>
      </c>
      <c r="B276" s="162">
        <v>51</v>
      </c>
      <c r="C276" s="163">
        <v>52</v>
      </c>
      <c r="D276" s="163">
        <v>60</v>
      </c>
      <c r="E276" s="163">
        <v>80</v>
      </c>
      <c r="F276" s="163">
        <v>115</v>
      </c>
      <c r="G276" s="163">
        <v>123</v>
      </c>
      <c r="H276" s="163">
        <v>125</v>
      </c>
      <c r="I276" s="163">
        <v>108</v>
      </c>
      <c r="J276" s="163">
        <v>102</v>
      </c>
      <c r="K276" s="163">
        <v>85</v>
      </c>
      <c r="L276" s="163">
        <v>70</v>
      </c>
      <c r="M276" s="164">
        <v>57</v>
      </c>
      <c r="N276" s="174">
        <f t="shared" si="9"/>
        <v>85.666666666666671</v>
      </c>
      <c r="O276" s="134" t="s">
        <v>487</v>
      </c>
      <c r="P276" s="134"/>
      <c r="Q276" s="134"/>
    </row>
    <row r="277" spans="1:17" ht="15.75" thickBot="1" x14ac:dyDescent="0.3">
      <c r="A277" s="145" t="s">
        <v>403</v>
      </c>
      <c r="B277" s="162">
        <v>120</v>
      </c>
      <c r="C277" s="163">
        <v>135</v>
      </c>
      <c r="D277" s="163">
        <v>145</v>
      </c>
      <c r="E277" s="163">
        <v>147</v>
      </c>
      <c r="F277" s="163">
        <v>136</v>
      </c>
      <c r="G277" s="163">
        <v>120</v>
      </c>
      <c r="H277" s="163">
        <v>118</v>
      </c>
      <c r="I277" s="163">
        <v>114</v>
      </c>
      <c r="J277" s="163">
        <v>112</v>
      </c>
      <c r="K277" s="163">
        <v>107</v>
      </c>
      <c r="L277" s="163">
        <v>106</v>
      </c>
      <c r="M277" s="164">
        <v>104</v>
      </c>
      <c r="N277" s="174">
        <f t="shared" si="9"/>
        <v>122</v>
      </c>
      <c r="O277" s="134" t="s">
        <v>494</v>
      </c>
      <c r="P277" s="134"/>
      <c r="Q277" s="134"/>
    </row>
    <row r="278" spans="1:17" ht="15.75" thickBot="1" x14ac:dyDescent="0.3">
      <c r="A278" s="145" t="s">
        <v>469</v>
      </c>
      <c r="B278" s="162">
        <v>120</v>
      </c>
      <c r="C278" s="163">
        <v>135</v>
      </c>
      <c r="D278" s="163">
        <v>145</v>
      </c>
      <c r="E278" s="163">
        <v>147</v>
      </c>
      <c r="F278" s="163">
        <v>136</v>
      </c>
      <c r="G278" s="163">
        <v>120</v>
      </c>
      <c r="H278" s="163">
        <v>118</v>
      </c>
      <c r="I278" s="163">
        <v>114</v>
      </c>
      <c r="J278" s="163">
        <v>112</v>
      </c>
      <c r="K278" s="163">
        <v>107</v>
      </c>
      <c r="L278" s="163">
        <v>106</v>
      </c>
      <c r="M278" s="164">
        <v>104</v>
      </c>
      <c r="N278" s="174">
        <f t="shared" si="9"/>
        <v>122</v>
      </c>
      <c r="O278" s="134" t="s">
        <v>494</v>
      </c>
      <c r="P278" s="134"/>
      <c r="Q278" s="134"/>
    </row>
    <row r="279" spans="1:17" ht="15.75" thickBot="1" x14ac:dyDescent="0.3">
      <c r="A279" s="145" t="s">
        <v>470</v>
      </c>
      <c r="B279" s="162">
        <v>51</v>
      </c>
      <c r="C279" s="163">
        <v>52</v>
      </c>
      <c r="D279" s="163">
        <v>60</v>
      </c>
      <c r="E279" s="163">
        <v>80</v>
      </c>
      <c r="F279" s="163">
        <v>115</v>
      </c>
      <c r="G279" s="163">
        <v>123</v>
      </c>
      <c r="H279" s="163">
        <v>125</v>
      </c>
      <c r="I279" s="163">
        <v>108</v>
      </c>
      <c r="J279" s="163">
        <v>102</v>
      </c>
      <c r="K279" s="163">
        <v>85</v>
      </c>
      <c r="L279" s="163">
        <v>70</v>
      </c>
      <c r="M279" s="164">
        <v>57</v>
      </c>
      <c r="N279" s="174">
        <f t="shared" si="9"/>
        <v>85.666666666666671</v>
      </c>
      <c r="O279" s="134" t="s">
        <v>487</v>
      </c>
      <c r="P279" s="134"/>
      <c r="Q279" s="134"/>
    </row>
    <row r="280" spans="1:17" ht="15.75" thickBot="1" x14ac:dyDescent="0.3">
      <c r="A280" s="145" t="s">
        <v>471</v>
      </c>
      <c r="B280" s="162">
        <v>48</v>
      </c>
      <c r="C280" s="163">
        <v>54</v>
      </c>
      <c r="D280" s="163">
        <v>64</v>
      </c>
      <c r="E280" s="163">
        <v>85</v>
      </c>
      <c r="F280" s="163">
        <v>108</v>
      </c>
      <c r="G280" s="163">
        <v>110</v>
      </c>
      <c r="H280" s="163">
        <v>112</v>
      </c>
      <c r="I280" s="163">
        <v>108</v>
      </c>
      <c r="J280" s="163">
        <v>100</v>
      </c>
      <c r="K280" s="163">
        <v>75</v>
      </c>
      <c r="L280" s="163">
        <v>60</v>
      </c>
      <c r="M280" s="164">
        <v>52</v>
      </c>
      <c r="N280" s="174">
        <f t="shared" si="9"/>
        <v>81.333333333333329</v>
      </c>
      <c r="O280" s="134" t="s">
        <v>489</v>
      </c>
      <c r="P280" s="134"/>
      <c r="Q280" s="134"/>
    </row>
    <row r="281" spans="1:17" ht="15.75" thickBot="1" x14ac:dyDescent="0.3">
      <c r="A281" s="145" t="s">
        <v>472</v>
      </c>
      <c r="B281" s="162">
        <v>48</v>
      </c>
      <c r="C281" s="163">
        <v>54</v>
      </c>
      <c r="D281" s="163">
        <v>64</v>
      </c>
      <c r="E281" s="163">
        <v>90</v>
      </c>
      <c r="F281" s="163">
        <v>118</v>
      </c>
      <c r="G281" s="163">
        <v>135</v>
      </c>
      <c r="H281" s="163">
        <v>139</v>
      </c>
      <c r="I281" s="163">
        <v>120</v>
      </c>
      <c r="J281" s="163">
        <v>102</v>
      </c>
      <c r="K281" s="163">
        <v>78</v>
      </c>
      <c r="L281" s="163">
        <v>63</v>
      </c>
      <c r="M281" s="164">
        <v>55</v>
      </c>
      <c r="N281" s="174">
        <f t="shared" si="9"/>
        <v>88.833333333333329</v>
      </c>
      <c r="O281" s="134" t="s">
        <v>492</v>
      </c>
      <c r="P281" s="134"/>
      <c r="Q281" s="134"/>
    </row>
    <row r="282" spans="1:17" ht="15.75" thickBot="1" x14ac:dyDescent="0.3">
      <c r="A282" s="145" t="s">
        <v>473</v>
      </c>
      <c r="B282" s="162">
        <v>120</v>
      </c>
      <c r="C282" s="163">
        <v>135</v>
      </c>
      <c r="D282" s="163">
        <v>145</v>
      </c>
      <c r="E282" s="163">
        <v>147</v>
      </c>
      <c r="F282" s="163">
        <v>136</v>
      </c>
      <c r="G282" s="163">
        <v>120</v>
      </c>
      <c r="H282" s="163">
        <v>118</v>
      </c>
      <c r="I282" s="163">
        <v>114</v>
      </c>
      <c r="J282" s="163">
        <v>112</v>
      </c>
      <c r="K282" s="163">
        <v>107</v>
      </c>
      <c r="L282" s="163">
        <v>106</v>
      </c>
      <c r="M282" s="164">
        <v>104</v>
      </c>
      <c r="N282" s="174">
        <f t="shared" si="9"/>
        <v>122</v>
      </c>
      <c r="O282" s="134" t="s">
        <v>496</v>
      </c>
      <c r="P282" s="134"/>
      <c r="Q282" s="134"/>
    </row>
    <row r="283" spans="1:17" ht="15.75" thickBot="1" x14ac:dyDescent="0.3">
      <c r="A283" s="145" t="s">
        <v>474</v>
      </c>
      <c r="B283" s="162">
        <v>80</v>
      </c>
      <c r="C283" s="163">
        <v>95</v>
      </c>
      <c r="D283" s="163">
        <v>112</v>
      </c>
      <c r="E283" s="163">
        <v>125</v>
      </c>
      <c r="F283" s="163">
        <v>138</v>
      </c>
      <c r="G283" s="163">
        <v>139</v>
      </c>
      <c r="H283" s="163">
        <v>140</v>
      </c>
      <c r="I283" s="163">
        <v>131</v>
      </c>
      <c r="J283" s="163">
        <v>116</v>
      </c>
      <c r="K283" s="163">
        <v>95</v>
      </c>
      <c r="L283" s="163">
        <v>80</v>
      </c>
      <c r="M283" s="164">
        <v>72</v>
      </c>
      <c r="N283" s="174">
        <f t="shared" si="9"/>
        <v>110.25</v>
      </c>
      <c r="O283" s="134" t="s">
        <v>491</v>
      </c>
      <c r="P283" s="134"/>
      <c r="Q283" s="134"/>
    </row>
    <row r="284" spans="1:17" ht="15.75" thickBot="1" x14ac:dyDescent="0.3">
      <c r="A284" s="145" t="s">
        <v>475</v>
      </c>
      <c r="B284" s="162">
        <v>48</v>
      </c>
      <c r="C284" s="163">
        <v>54</v>
      </c>
      <c r="D284" s="163">
        <v>64</v>
      </c>
      <c r="E284" s="163">
        <v>85</v>
      </c>
      <c r="F284" s="163">
        <v>108</v>
      </c>
      <c r="G284" s="163">
        <v>110</v>
      </c>
      <c r="H284" s="163">
        <v>112</v>
      </c>
      <c r="I284" s="163">
        <v>108</v>
      </c>
      <c r="J284" s="163">
        <v>100</v>
      </c>
      <c r="K284" s="163">
        <v>75</v>
      </c>
      <c r="L284" s="163">
        <v>60</v>
      </c>
      <c r="M284" s="164">
        <v>52</v>
      </c>
      <c r="N284" s="174">
        <f t="shared" si="9"/>
        <v>81.333333333333329</v>
      </c>
      <c r="O284" s="134" t="s">
        <v>489</v>
      </c>
      <c r="P284" s="134"/>
      <c r="Q284" s="134"/>
    </row>
    <row r="285" spans="1:17" ht="15.75" thickBot="1" x14ac:dyDescent="0.3">
      <c r="A285" s="145" t="s">
        <v>476</v>
      </c>
      <c r="B285" s="162">
        <v>48</v>
      </c>
      <c r="C285" s="163">
        <v>54</v>
      </c>
      <c r="D285" s="163">
        <v>64</v>
      </c>
      <c r="E285" s="163">
        <v>85</v>
      </c>
      <c r="F285" s="163">
        <v>108</v>
      </c>
      <c r="G285" s="163">
        <v>110</v>
      </c>
      <c r="H285" s="163">
        <v>112</v>
      </c>
      <c r="I285" s="163">
        <v>108</v>
      </c>
      <c r="J285" s="163">
        <v>100</v>
      </c>
      <c r="K285" s="163">
        <v>75</v>
      </c>
      <c r="L285" s="163">
        <v>60</v>
      </c>
      <c r="M285" s="164">
        <v>52</v>
      </c>
      <c r="N285" s="174">
        <f t="shared" si="9"/>
        <v>81.333333333333329</v>
      </c>
      <c r="O285" s="134" t="s">
        <v>489</v>
      </c>
      <c r="P285" s="134"/>
      <c r="Q285" s="134"/>
    </row>
    <row r="286" spans="1:17" ht="15.75" thickBot="1" x14ac:dyDescent="0.3">
      <c r="A286" s="145" t="s">
        <v>477</v>
      </c>
      <c r="B286" s="162">
        <v>48</v>
      </c>
      <c r="C286" s="163">
        <v>54</v>
      </c>
      <c r="D286" s="163">
        <v>64</v>
      </c>
      <c r="E286" s="163">
        <v>85</v>
      </c>
      <c r="F286" s="163">
        <v>108</v>
      </c>
      <c r="G286" s="163">
        <v>110</v>
      </c>
      <c r="H286" s="163">
        <v>112</v>
      </c>
      <c r="I286" s="163">
        <v>108</v>
      </c>
      <c r="J286" s="163">
        <v>100</v>
      </c>
      <c r="K286" s="163">
        <v>75</v>
      </c>
      <c r="L286" s="163">
        <v>60</v>
      </c>
      <c r="M286" s="164">
        <v>52</v>
      </c>
      <c r="N286" s="174">
        <f t="shared" si="9"/>
        <v>81.333333333333329</v>
      </c>
      <c r="O286" s="134" t="s">
        <v>489</v>
      </c>
      <c r="P286" s="134"/>
      <c r="Q286" s="134"/>
    </row>
    <row r="287" spans="1:17" ht="15.75" thickBot="1" x14ac:dyDescent="0.3">
      <c r="A287" s="145" t="s">
        <v>478</v>
      </c>
      <c r="B287" s="162">
        <v>48</v>
      </c>
      <c r="C287" s="163">
        <v>54</v>
      </c>
      <c r="D287" s="163">
        <v>64</v>
      </c>
      <c r="E287" s="163">
        <v>90</v>
      </c>
      <c r="F287" s="163">
        <v>118</v>
      </c>
      <c r="G287" s="163">
        <v>135</v>
      </c>
      <c r="H287" s="163">
        <v>139</v>
      </c>
      <c r="I287" s="163">
        <v>120</v>
      </c>
      <c r="J287" s="163">
        <v>102</v>
      </c>
      <c r="K287" s="163">
        <v>78</v>
      </c>
      <c r="L287" s="163">
        <v>63</v>
      </c>
      <c r="M287" s="164">
        <v>55</v>
      </c>
      <c r="N287" s="174">
        <f t="shared" si="9"/>
        <v>88.833333333333329</v>
      </c>
      <c r="O287" s="134" t="s">
        <v>492</v>
      </c>
      <c r="P287" s="134"/>
      <c r="Q287" s="134"/>
    </row>
    <row r="288" spans="1:17" ht="15.75" thickBot="1" x14ac:dyDescent="0.3">
      <c r="A288" s="145" t="s">
        <v>479</v>
      </c>
      <c r="B288" s="162">
        <v>48</v>
      </c>
      <c r="C288" s="163">
        <v>54</v>
      </c>
      <c r="D288" s="163">
        <v>64</v>
      </c>
      <c r="E288" s="163">
        <v>85</v>
      </c>
      <c r="F288" s="163">
        <v>108</v>
      </c>
      <c r="G288" s="163">
        <v>110</v>
      </c>
      <c r="H288" s="163">
        <v>112</v>
      </c>
      <c r="I288" s="163">
        <v>108</v>
      </c>
      <c r="J288" s="163">
        <v>100</v>
      </c>
      <c r="K288" s="163">
        <v>75</v>
      </c>
      <c r="L288" s="163">
        <v>60</v>
      </c>
      <c r="M288" s="164">
        <v>52</v>
      </c>
      <c r="N288" s="174">
        <f t="shared" si="9"/>
        <v>81.333333333333329</v>
      </c>
      <c r="O288" s="134" t="s">
        <v>489</v>
      </c>
      <c r="P288" s="134"/>
      <c r="Q288" s="134"/>
    </row>
    <row r="289" spans="1:17" ht="15.75" thickBot="1" x14ac:dyDescent="0.3">
      <c r="A289" s="145" t="s">
        <v>480</v>
      </c>
      <c r="B289" s="162">
        <v>120</v>
      </c>
      <c r="C289" s="163">
        <v>135</v>
      </c>
      <c r="D289" s="163">
        <v>145</v>
      </c>
      <c r="E289" s="163">
        <v>147</v>
      </c>
      <c r="F289" s="163">
        <v>136</v>
      </c>
      <c r="G289" s="163">
        <v>120</v>
      </c>
      <c r="H289" s="163">
        <v>118</v>
      </c>
      <c r="I289" s="163">
        <v>114</v>
      </c>
      <c r="J289" s="163">
        <v>112</v>
      </c>
      <c r="K289" s="163">
        <v>107</v>
      </c>
      <c r="L289" s="163">
        <v>106</v>
      </c>
      <c r="M289" s="164">
        <v>104</v>
      </c>
      <c r="N289" s="174">
        <f t="shared" si="9"/>
        <v>122</v>
      </c>
      <c r="O289" s="134" t="s">
        <v>494</v>
      </c>
      <c r="P289" s="134"/>
      <c r="Q289" s="134"/>
    </row>
    <row r="290" spans="1:17" ht="15.75" thickBot="1" x14ac:dyDescent="0.3">
      <c r="A290" s="150" t="s">
        <v>481</v>
      </c>
      <c r="B290" s="162">
        <v>52</v>
      </c>
      <c r="C290" s="163">
        <v>68</v>
      </c>
      <c r="D290" s="163">
        <v>83</v>
      </c>
      <c r="E290" s="163">
        <v>103</v>
      </c>
      <c r="F290" s="163">
        <v>108</v>
      </c>
      <c r="G290" s="163">
        <v>100</v>
      </c>
      <c r="H290" s="163">
        <v>99</v>
      </c>
      <c r="I290" s="163">
        <v>98</v>
      </c>
      <c r="J290" s="163">
        <v>94</v>
      </c>
      <c r="K290" s="163">
        <v>76</v>
      </c>
      <c r="L290" s="163">
        <v>60</v>
      </c>
      <c r="M290" s="164">
        <v>52</v>
      </c>
      <c r="N290" s="174">
        <f t="shared" si="9"/>
        <v>82.75</v>
      </c>
      <c r="O290" s="134" t="s">
        <v>490</v>
      </c>
      <c r="P290" s="134"/>
      <c r="Q290" s="134"/>
    </row>
    <row r="291" spans="1:17" x14ac:dyDescent="0.25">
      <c r="A291" s="134"/>
      <c r="B291" s="134"/>
      <c r="C291" s="134"/>
      <c r="D291" s="134"/>
      <c r="E291" s="134"/>
      <c r="F291" s="134"/>
      <c r="G291" s="134"/>
      <c r="H291" s="134"/>
      <c r="I291" s="134"/>
      <c r="J291" s="134"/>
      <c r="K291" s="134"/>
      <c r="L291" s="134"/>
      <c r="M291" s="134"/>
      <c r="N291" s="134"/>
      <c r="O291" s="134"/>
      <c r="P291" s="134"/>
      <c r="Q291" s="134"/>
    </row>
    <row r="292" spans="1:17" x14ac:dyDescent="0.25">
      <c r="A292" s="134"/>
      <c r="B292" s="134"/>
      <c r="C292" s="134"/>
      <c r="D292" s="134"/>
      <c r="E292" s="134"/>
      <c r="F292" s="134"/>
      <c r="G292" s="134"/>
      <c r="H292" s="134"/>
      <c r="I292" s="134"/>
      <c r="J292" s="134"/>
      <c r="K292" s="134"/>
      <c r="L292" s="134"/>
      <c r="M292" s="134"/>
      <c r="N292" s="134"/>
      <c r="O292" s="134"/>
      <c r="P292" s="134"/>
      <c r="Q292" s="134"/>
    </row>
    <row r="293" spans="1:17" x14ac:dyDescent="0.25">
      <c r="A293" s="134"/>
      <c r="B293" s="134"/>
      <c r="C293" s="134"/>
      <c r="D293" s="134"/>
      <c r="E293" s="134"/>
      <c r="F293" s="134"/>
      <c r="G293" s="134"/>
      <c r="H293" s="134"/>
      <c r="I293" s="134"/>
      <c r="J293" s="134"/>
      <c r="K293" s="134"/>
      <c r="L293" s="134"/>
      <c r="M293" s="134"/>
      <c r="N293" s="134"/>
      <c r="O293" s="134"/>
      <c r="P293" s="134"/>
      <c r="Q293" s="134"/>
    </row>
    <row r="294" spans="1:17" x14ac:dyDescent="0.25">
      <c r="A294" s="134"/>
      <c r="B294" s="134"/>
      <c r="C294" s="134"/>
      <c r="D294" s="134"/>
      <c r="E294" s="134"/>
      <c r="F294" s="134"/>
      <c r="G294" s="134"/>
      <c r="H294" s="134"/>
      <c r="I294" s="134"/>
      <c r="J294" s="134"/>
      <c r="K294" s="134"/>
      <c r="L294" s="134"/>
      <c r="M294" s="134"/>
      <c r="N294" s="134"/>
      <c r="O294" s="134"/>
      <c r="P294" s="134"/>
      <c r="Q294" s="134"/>
    </row>
    <row r="295" spans="1:17" hidden="1" x14ac:dyDescent="0.25"/>
    <row r="296" spans="1:17" hidden="1" x14ac:dyDescent="0.25"/>
    <row r="297" spans="1:17" hidden="1" x14ac:dyDescent="0.25"/>
    <row r="298" spans="1:17" hidden="1" x14ac:dyDescent="0.25"/>
    <row r="299" spans="1:17" hidden="1" x14ac:dyDescent="0.25"/>
    <row r="300" spans="1:17" hidden="1" x14ac:dyDescent="0.25"/>
    <row r="301" spans="1:17" hidden="1" x14ac:dyDescent="0.25"/>
    <row r="302" spans="1:17" hidden="1" x14ac:dyDescent="0.25"/>
    <row r="303" spans="1:17" hidden="1" x14ac:dyDescent="0.25"/>
    <row r="304" spans="1:17"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sheetData>
  <sheetProtection algorithmName="SHA-512" hashValue="drVbqd3j7mwBYON51AskBQpGxgoSGFRiKDFNIZqGZ8Ov62xiEUlTQ/0yrrcnkK8WYHHOin8JY+9M61e96rjw8g==" saltValue="5OdNdHwNCdDN/OmZFjwM4w==" spinCount="100000" sheet="1" objects="1" scenarios="1"/>
  <mergeCells count="4">
    <mergeCell ref="A1:F1"/>
    <mergeCell ref="A71:F71"/>
    <mergeCell ref="A141:F141"/>
    <mergeCell ref="A212:F212"/>
  </mergeCells>
  <hyperlinks>
    <hyperlink ref="A214" r:id="rId1" display="http://www.ifpri.org/sites/default/files/publications/ifpridp01248.pdf"/>
  </hyperlinks>
  <pageMargins left="0.7" right="0.7" top="0.75" bottom="0.75" header="0.3" footer="0.3"/>
  <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tabColor theme="0" tint="-0.249977111117893"/>
  </sheetPr>
  <dimension ref="A1:S249"/>
  <sheetViews>
    <sheetView showRowColHeaders="0" topLeftCell="A25" workbookViewId="0"/>
  </sheetViews>
  <sheetFormatPr defaultColWidth="0" defaultRowHeight="15" zeroHeight="1" x14ac:dyDescent="0.25"/>
  <cols>
    <col min="1" max="1" width="3.7109375" style="302" customWidth="1"/>
    <col min="2" max="10" width="9.140625" style="302" customWidth="1"/>
    <col min="11" max="14" width="21.28515625" style="302" customWidth="1"/>
    <col min="15" max="15" width="9.140625" style="302" customWidth="1"/>
    <col min="16" max="16384" width="9.140625" style="302" hidden="1"/>
  </cols>
  <sheetData>
    <row r="1" spans="1:19" ht="28.5" x14ac:dyDescent="0.25">
      <c r="A1" s="561" t="s">
        <v>743</v>
      </c>
      <c r="B1" s="414"/>
      <c r="C1" s="414"/>
      <c r="D1" s="414"/>
      <c r="E1" s="414"/>
      <c r="F1" s="387"/>
      <c r="G1" s="387"/>
      <c r="H1" s="387"/>
      <c r="I1" s="387"/>
      <c r="J1" s="387"/>
      <c r="K1" s="387"/>
      <c r="L1" s="387"/>
      <c r="M1" s="387"/>
      <c r="N1" s="387"/>
      <c r="O1" s="387"/>
      <c r="P1" s="387"/>
      <c r="Q1" s="387"/>
      <c r="R1" s="387"/>
      <c r="S1" s="387"/>
    </row>
    <row r="2" spans="1:19" x14ac:dyDescent="0.25">
      <c r="A2" s="388"/>
      <c r="B2" s="388"/>
      <c r="C2" s="388"/>
      <c r="D2" s="388"/>
      <c r="E2" s="388"/>
      <c r="F2" s="388"/>
      <c r="G2" s="388"/>
      <c r="H2" s="388"/>
      <c r="I2" s="388"/>
      <c r="J2" s="388"/>
      <c r="K2" s="388"/>
      <c r="L2" s="388"/>
      <c r="M2" s="388"/>
      <c r="N2" s="388"/>
      <c r="O2" s="388"/>
      <c r="P2" s="388"/>
      <c r="Q2" s="388"/>
      <c r="R2" s="388"/>
      <c r="S2" s="388"/>
    </row>
    <row r="3" spans="1:19" ht="18.75" x14ac:dyDescent="0.25">
      <c r="A3" s="560" t="s">
        <v>744</v>
      </c>
      <c r="B3" s="390"/>
      <c r="C3" s="389"/>
      <c r="D3" s="389"/>
      <c r="E3" s="389"/>
      <c r="F3" s="388"/>
      <c r="G3" s="388"/>
      <c r="H3" s="388"/>
      <c r="I3" s="388"/>
      <c r="J3" s="388"/>
      <c r="K3" s="388"/>
      <c r="L3" s="388"/>
      <c r="M3" s="388"/>
      <c r="N3" s="388"/>
      <c r="O3" s="388"/>
      <c r="P3" s="388"/>
      <c r="Q3" s="388"/>
      <c r="R3" s="388"/>
      <c r="S3" s="388"/>
    </row>
    <row r="4" spans="1:19" ht="9" customHeight="1" x14ac:dyDescent="0.25">
      <c r="A4" s="388"/>
      <c r="B4" s="388"/>
      <c r="C4" s="388"/>
      <c r="D4" s="388"/>
      <c r="E4" s="388"/>
      <c r="F4" s="388"/>
      <c r="G4" s="388"/>
      <c r="H4" s="388"/>
      <c r="I4" s="388"/>
      <c r="J4" s="388"/>
      <c r="K4" s="388"/>
      <c r="L4" s="388"/>
      <c r="M4" s="388"/>
      <c r="N4" s="388"/>
      <c r="O4" s="388"/>
      <c r="P4" s="388"/>
      <c r="Q4" s="388"/>
      <c r="R4" s="388"/>
      <c r="S4" s="388"/>
    </row>
    <row r="5" spans="1:19" x14ac:dyDescent="0.25">
      <c r="A5" s="388"/>
      <c r="B5" s="2211" t="s">
        <v>745</v>
      </c>
      <c r="C5" s="2211"/>
      <c r="D5" s="2211"/>
      <c r="E5" s="2212"/>
      <c r="F5" s="2212"/>
      <c r="G5" s="2212"/>
      <c r="H5" s="2212"/>
      <c r="I5" s="388"/>
      <c r="J5" s="388"/>
      <c r="K5" s="388"/>
      <c r="L5" s="388"/>
      <c r="M5" s="388"/>
      <c r="N5" s="388"/>
      <c r="O5" s="388"/>
      <c r="P5" s="388"/>
      <c r="Q5" s="388"/>
      <c r="R5" s="388"/>
      <c r="S5" s="388"/>
    </row>
    <row r="6" spans="1:19" x14ac:dyDescent="0.25">
      <c r="A6" s="388"/>
      <c r="B6" s="2211" t="s">
        <v>746</v>
      </c>
      <c r="C6" s="2211"/>
      <c r="D6" s="2211"/>
      <c r="E6" s="2212"/>
      <c r="F6" s="2212"/>
      <c r="G6" s="2212"/>
      <c r="H6" s="2212"/>
      <c r="I6" s="388"/>
      <c r="J6" s="388"/>
      <c r="K6" s="388"/>
      <c r="L6" s="388"/>
      <c r="M6" s="388"/>
      <c r="N6" s="388"/>
      <c r="O6" s="388"/>
      <c r="P6" s="388"/>
      <c r="Q6" s="388"/>
      <c r="R6" s="388"/>
      <c r="S6" s="388"/>
    </row>
    <row r="7" spans="1:19" x14ac:dyDescent="0.25">
      <c r="A7" s="388"/>
      <c r="B7" s="2211" t="s">
        <v>747</v>
      </c>
      <c r="C7" s="2211"/>
      <c r="D7" s="2211"/>
      <c r="E7" s="2212"/>
      <c r="F7" s="2212"/>
      <c r="G7" s="2212"/>
      <c r="H7" s="2212"/>
      <c r="I7" s="388"/>
      <c r="J7" s="388"/>
      <c r="K7" s="388"/>
      <c r="L7" s="388"/>
      <c r="M7" s="388"/>
      <c r="N7" s="388"/>
      <c r="O7" s="388"/>
      <c r="P7" s="388"/>
      <c r="Q7" s="388"/>
      <c r="R7" s="388"/>
      <c r="S7" s="388"/>
    </row>
    <row r="8" spans="1:19" x14ac:dyDescent="0.25">
      <c r="A8" s="388"/>
      <c r="B8" s="388"/>
      <c r="C8" s="388"/>
      <c r="D8" s="388"/>
      <c r="E8" s="388"/>
      <c r="F8" s="388"/>
      <c r="G8" s="388"/>
      <c r="H8" s="388"/>
      <c r="I8" s="388"/>
      <c r="J8" s="388"/>
      <c r="K8" s="388"/>
      <c r="L8" s="388"/>
      <c r="M8" s="388"/>
      <c r="N8" s="388"/>
      <c r="O8" s="388"/>
      <c r="P8" s="388"/>
      <c r="Q8" s="388"/>
      <c r="R8" s="388"/>
      <c r="S8" s="388"/>
    </row>
    <row r="9" spans="1:19" x14ac:dyDescent="0.25">
      <c r="A9" s="388"/>
      <c r="B9" s="388" t="s">
        <v>1184</v>
      </c>
      <c r="C9" s="388"/>
      <c r="D9" s="388"/>
      <c r="E9" s="388"/>
      <c r="F9" s="388"/>
      <c r="G9" s="388"/>
      <c r="H9" s="388"/>
      <c r="I9" s="388"/>
      <c r="J9" s="388"/>
      <c r="K9" s="388"/>
      <c r="L9" s="388"/>
      <c r="M9" s="388"/>
      <c r="N9" s="388"/>
      <c r="O9" s="388"/>
      <c r="P9" s="388"/>
      <c r="Q9" s="388"/>
      <c r="R9" s="388"/>
      <c r="S9" s="388"/>
    </row>
    <row r="10" spans="1:19" x14ac:dyDescent="0.25">
      <c r="A10" s="388"/>
      <c r="B10" s="388"/>
      <c r="C10" s="388"/>
      <c r="D10" s="388"/>
      <c r="E10" s="388"/>
      <c r="F10" s="388"/>
      <c r="G10" s="388"/>
      <c r="H10" s="388"/>
      <c r="I10" s="388"/>
      <c r="J10" s="388"/>
      <c r="K10" s="388"/>
      <c r="L10" s="388"/>
      <c r="M10" s="388"/>
      <c r="N10" s="388"/>
      <c r="O10" s="388"/>
      <c r="P10" s="388"/>
      <c r="Q10" s="388"/>
      <c r="R10" s="388"/>
      <c r="S10" s="388"/>
    </row>
    <row r="11" spans="1:19" ht="18.75" x14ac:dyDescent="0.25">
      <c r="A11" s="560" t="s">
        <v>748</v>
      </c>
      <c r="B11" s="390"/>
      <c r="C11" s="389"/>
      <c r="D11" s="389"/>
      <c r="E11" s="389"/>
      <c r="F11" s="388"/>
      <c r="G11" s="388"/>
      <c r="H11" s="388"/>
      <c r="I11" s="388"/>
      <c r="J11" s="388"/>
      <c r="K11" s="388"/>
      <c r="L11" s="388"/>
      <c r="M11" s="388"/>
      <c r="N11" s="388"/>
      <c r="O11" s="388"/>
      <c r="P11" s="388"/>
      <c r="Q11" s="388"/>
      <c r="R11" s="388"/>
      <c r="S11" s="388"/>
    </row>
    <row r="12" spans="1:19" ht="12.75" customHeight="1" x14ac:dyDescent="0.25">
      <c r="A12" s="388"/>
      <c r="B12" s="388"/>
      <c r="C12" s="388"/>
      <c r="D12" s="388"/>
      <c r="E12" s="388"/>
      <c r="F12" s="388"/>
      <c r="G12" s="388"/>
      <c r="H12" s="388"/>
      <c r="I12" s="388"/>
      <c r="J12" s="388"/>
      <c r="K12" s="388"/>
      <c r="L12" s="388"/>
      <c r="M12" s="388"/>
      <c r="N12" s="388"/>
      <c r="O12" s="388"/>
      <c r="P12" s="388"/>
      <c r="Q12" s="388"/>
      <c r="R12" s="388"/>
      <c r="S12" s="388"/>
    </row>
    <row r="13" spans="1:19" x14ac:dyDescent="0.25">
      <c r="A13" s="388"/>
      <c r="B13" s="613" t="s">
        <v>1183</v>
      </c>
      <c r="C13" s="388"/>
      <c r="D13" s="388"/>
      <c r="E13" s="388"/>
      <c r="F13" s="388"/>
      <c r="G13" s="388"/>
      <c r="H13" s="388"/>
      <c r="I13" s="388"/>
      <c r="J13" s="388"/>
      <c r="K13" s="388"/>
      <c r="L13" s="388"/>
      <c r="M13" s="388"/>
      <c r="N13" s="388"/>
      <c r="O13" s="388"/>
      <c r="P13" s="388"/>
      <c r="Q13" s="388"/>
      <c r="R13" s="388"/>
      <c r="S13" s="388"/>
    </row>
    <row r="14" spans="1:19" ht="12" customHeight="1" x14ac:dyDescent="0.25">
      <c r="A14" s="388"/>
      <c r="B14" s="388"/>
      <c r="C14" s="388"/>
      <c r="D14" s="388"/>
      <c r="E14" s="388"/>
      <c r="F14" s="388"/>
      <c r="G14" s="388"/>
      <c r="H14" s="388"/>
      <c r="I14" s="388"/>
      <c r="J14" s="388"/>
      <c r="K14" s="388"/>
      <c r="L14" s="388"/>
      <c r="M14" s="388"/>
      <c r="N14" s="388"/>
      <c r="O14" s="388"/>
      <c r="P14" s="388"/>
      <c r="Q14" s="388"/>
      <c r="R14" s="388"/>
      <c r="S14" s="388"/>
    </row>
    <row r="15" spans="1:19" ht="15.75" x14ac:dyDescent="0.25">
      <c r="A15" s="388"/>
      <c r="B15" s="411" t="s">
        <v>749</v>
      </c>
      <c r="C15" s="388"/>
      <c r="D15" s="388"/>
      <c r="E15" s="388"/>
      <c r="F15" s="388"/>
      <c r="G15" s="388"/>
      <c r="H15" s="388"/>
      <c r="I15" s="388"/>
      <c r="J15" s="388"/>
      <c r="K15" s="388"/>
      <c r="L15" s="388"/>
      <c r="M15" s="388"/>
      <c r="N15" s="388"/>
      <c r="O15" s="388"/>
      <c r="P15" s="388"/>
      <c r="Q15" s="388"/>
      <c r="R15" s="388"/>
      <c r="S15" s="388"/>
    </row>
    <row r="16" spans="1:19" x14ac:dyDescent="0.25">
      <c r="A16" s="388"/>
      <c r="B16" s="388"/>
      <c r="C16" s="388"/>
      <c r="D16" s="388"/>
      <c r="E16" s="388"/>
      <c r="F16" s="388"/>
      <c r="G16" s="388"/>
      <c r="H16" s="388"/>
      <c r="I16" s="388"/>
      <c r="J16" s="388"/>
      <c r="K16" s="388"/>
      <c r="L16" s="388"/>
      <c r="M16" s="388"/>
      <c r="N16" s="388"/>
      <c r="O16" s="388"/>
      <c r="P16" s="388"/>
      <c r="Q16" s="388"/>
      <c r="R16" s="388"/>
      <c r="S16" s="388"/>
    </row>
    <row r="17" spans="1:19" x14ac:dyDescent="0.25">
      <c r="A17" s="388"/>
      <c r="B17" s="558" t="s">
        <v>1138</v>
      </c>
      <c r="C17" s="388"/>
      <c r="D17" s="388"/>
      <c r="E17" s="388"/>
      <c r="F17" s="388"/>
      <c r="G17" s="388"/>
      <c r="H17" s="388"/>
      <c r="I17" s="388"/>
      <c r="J17" s="388"/>
      <c r="K17" s="388"/>
      <c r="L17" s="388"/>
      <c r="M17" s="388"/>
      <c r="N17" s="388"/>
      <c r="O17" s="388"/>
      <c r="P17" s="559"/>
      <c r="Q17" s="559"/>
      <c r="R17" s="388"/>
      <c r="S17" s="388"/>
    </row>
    <row r="18" spans="1:19" x14ac:dyDescent="0.25">
      <c r="A18" s="388"/>
      <c r="B18" s="14" t="s">
        <v>1157</v>
      </c>
      <c r="C18" s="388"/>
      <c r="D18" s="388"/>
      <c r="E18" s="388"/>
      <c r="F18" s="388"/>
      <c r="G18" s="388"/>
      <c r="H18" s="388"/>
      <c r="I18" s="388"/>
      <c r="J18" s="388"/>
      <c r="K18" s="388"/>
      <c r="L18" s="388"/>
      <c r="M18" s="388"/>
      <c r="N18" s="388"/>
      <c r="O18" s="388"/>
      <c r="P18" s="559"/>
      <c r="Q18" s="559"/>
      <c r="R18" s="388"/>
      <c r="S18" s="388"/>
    </row>
    <row r="19" spans="1:19" ht="15" customHeight="1" x14ac:dyDescent="0.25">
      <c r="A19" s="388"/>
      <c r="B19" s="1524" t="s">
        <v>3</v>
      </c>
      <c r="C19" s="1524"/>
      <c r="D19" s="1524"/>
      <c r="E19" s="575"/>
      <c r="F19" s="388"/>
      <c r="G19" s="1524" t="s">
        <v>9</v>
      </c>
      <c r="H19" s="1524"/>
      <c r="I19" s="1524"/>
      <c r="J19" s="575"/>
      <c r="K19" s="388"/>
      <c r="L19" s="388"/>
      <c r="M19" s="388"/>
      <c r="N19" s="388"/>
      <c r="O19" s="388"/>
      <c r="P19" s="559" t="b">
        <v>0</v>
      </c>
      <c r="Q19" s="559"/>
      <c r="R19" s="388"/>
      <c r="S19" s="388"/>
    </row>
    <row r="20" spans="1:19" ht="15" customHeight="1" x14ac:dyDescent="0.25">
      <c r="A20" s="388"/>
      <c r="B20" s="520" t="s">
        <v>1145</v>
      </c>
      <c r="C20" s="388"/>
      <c r="D20" s="388"/>
      <c r="E20" s="388"/>
      <c r="F20" s="388"/>
      <c r="G20" s="388"/>
      <c r="H20" s="388"/>
      <c r="I20" s="388"/>
      <c r="J20" s="388"/>
      <c r="K20" s="388"/>
      <c r="L20" s="388"/>
      <c r="M20" s="388"/>
      <c r="N20" s="388"/>
      <c r="O20" s="388"/>
      <c r="P20" s="559"/>
      <c r="Q20" s="559"/>
      <c r="R20" s="388"/>
      <c r="S20" s="388"/>
    </row>
    <row r="21" spans="1:19" ht="15" customHeight="1" x14ac:dyDescent="0.25">
      <c r="A21" s="388"/>
      <c r="B21" s="520" t="s">
        <v>1158</v>
      </c>
      <c r="C21" s="388"/>
      <c r="D21" s="388"/>
      <c r="E21" s="388"/>
      <c r="F21" s="388"/>
      <c r="G21" s="388"/>
      <c r="H21" s="388"/>
      <c r="I21" s="388"/>
      <c r="J21" s="388"/>
      <c r="K21" s="388"/>
      <c r="L21" s="388"/>
      <c r="M21" s="388"/>
      <c r="N21" s="388"/>
      <c r="O21" s="388"/>
      <c r="P21" s="559"/>
      <c r="Q21" s="559"/>
      <c r="R21" s="388"/>
      <c r="S21" s="388"/>
    </row>
    <row r="22" spans="1:19" ht="15" customHeight="1" x14ac:dyDescent="0.25">
      <c r="A22" s="388"/>
      <c r="B22" s="1524" t="s">
        <v>3</v>
      </c>
      <c r="C22" s="1524"/>
      <c r="D22" s="1524"/>
      <c r="E22" s="575"/>
      <c r="F22" s="388"/>
      <c r="G22" s="1524" t="s">
        <v>9</v>
      </c>
      <c r="H22" s="1524"/>
      <c r="I22" s="1524"/>
      <c r="J22" s="575"/>
      <c r="K22" s="388"/>
      <c r="L22" s="388"/>
      <c r="M22" s="388"/>
      <c r="N22" s="388"/>
      <c r="O22" s="388"/>
      <c r="P22" s="559" t="b">
        <v>0</v>
      </c>
      <c r="Q22" s="559"/>
      <c r="R22" s="388"/>
      <c r="S22" s="388"/>
    </row>
    <row r="23" spans="1:19" ht="9.75" customHeight="1" x14ac:dyDescent="0.25">
      <c r="A23" s="388"/>
      <c r="B23" s="388"/>
      <c r="C23" s="388"/>
      <c r="D23" s="388"/>
      <c r="E23" s="388"/>
      <c r="F23" s="388"/>
      <c r="G23" s="388"/>
      <c r="H23" s="388"/>
      <c r="I23" s="388"/>
      <c r="J23" s="388"/>
      <c r="K23" s="388"/>
      <c r="L23" s="388"/>
      <c r="M23" s="388"/>
      <c r="N23" s="388"/>
      <c r="O23" s="388"/>
      <c r="P23" s="559"/>
      <c r="Q23" s="559"/>
      <c r="R23" s="388"/>
      <c r="S23" s="388"/>
    </row>
    <row r="24" spans="1:19" ht="15" customHeight="1" x14ac:dyDescent="0.25">
      <c r="A24" s="388"/>
      <c r="B24" s="388" t="s">
        <v>1137</v>
      </c>
      <c r="C24" s="388"/>
      <c r="D24" s="388"/>
      <c r="E24" s="388"/>
      <c r="F24" s="388"/>
      <c r="G24" s="388"/>
      <c r="H24" s="388"/>
      <c r="I24" s="388"/>
      <c r="J24" s="388"/>
      <c r="K24" s="388"/>
      <c r="L24" s="388"/>
      <c r="M24" s="388"/>
      <c r="N24" s="388"/>
      <c r="O24" s="388"/>
      <c r="P24" s="559"/>
      <c r="Q24" s="559"/>
      <c r="R24" s="388"/>
      <c r="S24" s="388"/>
    </row>
    <row r="25" spans="1:19" ht="29.25" customHeight="1" x14ac:dyDescent="0.25">
      <c r="A25" s="388"/>
      <c r="B25" s="2225"/>
      <c r="C25" s="2225"/>
      <c r="D25" s="2225"/>
      <c r="E25" s="2225"/>
      <c r="F25" s="2225"/>
      <c r="G25" s="2225"/>
      <c r="H25" s="2225"/>
      <c r="I25" s="2225"/>
      <c r="J25" s="2225"/>
      <c r="K25" s="2225"/>
      <c r="L25" s="2225"/>
      <c r="M25" s="2225"/>
      <c r="N25" s="388"/>
      <c r="O25" s="388"/>
      <c r="P25" s="559"/>
      <c r="Q25" s="559"/>
      <c r="R25" s="388"/>
      <c r="S25" s="388"/>
    </row>
    <row r="26" spans="1:19" ht="15" customHeight="1" x14ac:dyDescent="0.25">
      <c r="A26" s="388"/>
      <c r="B26" s="388"/>
      <c r="C26" s="388"/>
      <c r="D26" s="388"/>
      <c r="E26" s="388"/>
      <c r="F26" s="388"/>
      <c r="G26" s="388"/>
      <c r="H26" s="388"/>
      <c r="I26" s="388"/>
      <c r="J26" s="388"/>
      <c r="K26" s="388"/>
      <c r="L26" s="388"/>
      <c r="M26" s="388"/>
      <c r="N26" s="388"/>
      <c r="O26" s="388"/>
      <c r="P26" s="559"/>
      <c r="Q26" s="559"/>
      <c r="R26" s="388"/>
      <c r="S26" s="388"/>
    </row>
    <row r="27" spans="1:19" x14ac:dyDescent="0.25">
      <c r="A27" s="388"/>
      <c r="B27" s="558" t="s">
        <v>1209</v>
      </c>
      <c r="C27" s="388"/>
      <c r="D27" s="388"/>
      <c r="E27" s="388"/>
      <c r="F27" s="388"/>
      <c r="G27" s="388"/>
      <c r="H27" s="388"/>
      <c r="I27" s="388"/>
      <c r="J27" s="388"/>
      <c r="K27" s="388"/>
      <c r="L27" s="388"/>
      <c r="M27" s="388"/>
      <c r="N27" s="388"/>
      <c r="O27" s="388"/>
      <c r="P27" s="559"/>
      <c r="Q27" s="559"/>
      <c r="R27" s="388"/>
      <c r="S27" s="388"/>
    </row>
    <row r="28" spans="1:19" x14ac:dyDescent="0.25">
      <c r="A28" s="388"/>
      <c r="B28" s="14" t="s">
        <v>1136</v>
      </c>
      <c r="C28" s="388"/>
      <c r="D28" s="388"/>
      <c r="E28" s="388"/>
      <c r="F28" s="388"/>
      <c r="G28" s="388"/>
      <c r="H28" s="388"/>
      <c r="I28" s="388"/>
      <c r="J28" s="388"/>
      <c r="K28" s="388"/>
      <c r="L28" s="388"/>
      <c r="M28" s="388"/>
      <c r="N28" s="388"/>
      <c r="O28" s="388"/>
      <c r="P28" s="559"/>
      <c r="Q28" s="559"/>
      <c r="R28" s="388"/>
      <c r="S28" s="388"/>
    </row>
    <row r="29" spans="1:19" ht="15" customHeight="1" x14ac:dyDescent="0.25">
      <c r="A29" s="388"/>
      <c r="B29" s="1524" t="s">
        <v>3</v>
      </c>
      <c r="C29" s="1524"/>
      <c r="D29" s="1524"/>
      <c r="E29" s="555"/>
      <c r="F29" s="388"/>
      <c r="G29" s="1524" t="s">
        <v>9</v>
      </c>
      <c r="H29" s="1524"/>
      <c r="I29" s="1524"/>
      <c r="J29" s="555"/>
      <c r="K29" s="388"/>
      <c r="L29" s="388"/>
      <c r="M29" s="388"/>
      <c r="N29" s="388"/>
      <c r="O29" s="388"/>
      <c r="P29" s="559" t="b">
        <v>0</v>
      </c>
      <c r="Q29" s="559"/>
      <c r="R29" s="388"/>
      <c r="S29" s="388"/>
    </row>
    <row r="30" spans="1:19" x14ac:dyDescent="0.25">
      <c r="A30" s="388"/>
      <c r="B30" s="388" t="s">
        <v>1159</v>
      </c>
      <c r="C30" s="388"/>
      <c r="D30" s="388"/>
      <c r="E30" s="388"/>
      <c r="F30" s="388"/>
      <c r="G30" s="388"/>
      <c r="H30" s="388"/>
      <c r="I30" s="388"/>
      <c r="J30" s="388"/>
      <c r="K30" s="388"/>
      <c r="L30" s="388"/>
      <c r="M30" s="388"/>
      <c r="N30" s="388"/>
      <c r="O30" s="388"/>
      <c r="P30" s="559"/>
      <c r="Q30" s="559"/>
      <c r="R30" s="388"/>
      <c r="S30" s="388"/>
    </row>
    <row r="31" spans="1:19" ht="9.75" customHeight="1" x14ac:dyDescent="0.25">
      <c r="A31" s="388"/>
      <c r="B31" s="388"/>
      <c r="C31" s="388"/>
      <c r="D31" s="388"/>
      <c r="E31" s="388"/>
      <c r="F31" s="388"/>
      <c r="G31" s="388"/>
      <c r="H31" s="388"/>
      <c r="I31" s="388"/>
      <c r="J31" s="388"/>
      <c r="K31" s="388"/>
      <c r="L31" s="388"/>
      <c r="M31" s="388"/>
      <c r="N31" s="388"/>
      <c r="O31" s="388"/>
      <c r="P31" s="559"/>
      <c r="Q31" s="559"/>
      <c r="R31" s="388"/>
      <c r="S31" s="388"/>
    </row>
    <row r="32" spans="1:19" ht="15" customHeight="1" x14ac:dyDescent="0.25">
      <c r="A32" s="388"/>
      <c r="B32" s="388" t="s">
        <v>1137</v>
      </c>
      <c r="C32" s="388"/>
      <c r="D32" s="388"/>
      <c r="E32" s="388"/>
      <c r="F32" s="388"/>
      <c r="G32" s="388"/>
      <c r="H32" s="388"/>
      <c r="I32" s="388"/>
      <c r="J32" s="388"/>
      <c r="K32" s="388"/>
      <c r="L32" s="388"/>
      <c r="M32" s="388"/>
      <c r="N32" s="388"/>
      <c r="O32" s="388"/>
      <c r="P32" s="559"/>
      <c r="Q32" s="559"/>
      <c r="R32" s="388"/>
      <c r="S32" s="388"/>
    </row>
    <row r="33" spans="1:19" ht="29.25" customHeight="1" x14ac:dyDescent="0.25">
      <c r="A33" s="388"/>
      <c r="B33" s="2225"/>
      <c r="C33" s="2225"/>
      <c r="D33" s="2225"/>
      <c r="E33" s="2225"/>
      <c r="F33" s="2225"/>
      <c r="G33" s="2225"/>
      <c r="H33" s="2225"/>
      <c r="I33" s="2225"/>
      <c r="J33" s="2225"/>
      <c r="K33" s="2225"/>
      <c r="L33" s="2225"/>
      <c r="M33" s="2225"/>
      <c r="N33" s="388"/>
      <c r="O33" s="388"/>
      <c r="P33" s="559"/>
      <c r="Q33" s="559"/>
      <c r="R33" s="388"/>
      <c r="S33" s="388"/>
    </row>
    <row r="34" spans="1:19" ht="15" customHeight="1" x14ac:dyDescent="0.25">
      <c r="A34" s="388"/>
      <c r="B34" s="388"/>
      <c r="C34" s="388"/>
      <c r="D34" s="388"/>
      <c r="E34" s="388"/>
      <c r="F34" s="388"/>
      <c r="G34" s="388"/>
      <c r="H34" s="388"/>
      <c r="I34" s="388"/>
      <c r="J34" s="388"/>
      <c r="K34" s="388"/>
      <c r="L34" s="388"/>
      <c r="M34" s="388"/>
      <c r="N34" s="388"/>
      <c r="O34" s="388"/>
      <c r="P34" s="559"/>
      <c r="Q34" s="559"/>
      <c r="R34" s="388"/>
      <c r="S34" s="388"/>
    </row>
    <row r="35" spans="1:19" x14ac:dyDescent="0.25">
      <c r="A35" s="388"/>
      <c r="B35" s="558" t="s">
        <v>1210</v>
      </c>
      <c r="C35" s="388"/>
      <c r="D35" s="388"/>
      <c r="E35" s="388"/>
      <c r="F35" s="388"/>
      <c r="G35" s="388"/>
      <c r="H35" s="388"/>
      <c r="I35" s="388"/>
      <c r="J35" s="388"/>
      <c r="K35" s="388"/>
      <c r="L35" s="388"/>
      <c r="M35" s="388"/>
      <c r="N35" s="388"/>
      <c r="O35" s="388"/>
      <c r="P35" s="559"/>
      <c r="Q35" s="559"/>
      <c r="R35" s="388"/>
      <c r="S35" s="388"/>
    </row>
    <row r="36" spans="1:19" x14ac:dyDescent="0.25">
      <c r="A36" s="388"/>
      <c r="B36" s="14" t="s">
        <v>942</v>
      </c>
      <c r="C36" s="388"/>
      <c r="D36" s="388"/>
      <c r="E36" s="388"/>
      <c r="F36" s="388"/>
      <c r="G36" s="388"/>
      <c r="H36" s="388"/>
      <c r="I36" s="388"/>
      <c r="J36" s="388"/>
      <c r="K36" s="388"/>
      <c r="L36" s="388"/>
      <c r="M36" s="388"/>
      <c r="N36" s="388"/>
      <c r="O36" s="388"/>
      <c r="P36" s="559"/>
      <c r="Q36" s="559"/>
      <c r="R36" s="388"/>
      <c r="S36" s="388"/>
    </row>
    <row r="37" spans="1:19" ht="15.75" customHeight="1" x14ac:dyDescent="0.25">
      <c r="A37" s="388"/>
      <c r="B37" s="1524" t="s">
        <v>943</v>
      </c>
      <c r="C37" s="1524"/>
      <c r="D37" s="1524"/>
      <c r="E37" s="555"/>
      <c r="F37" s="388"/>
      <c r="G37" s="1524" t="s">
        <v>945</v>
      </c>
      <c r="H37" s="1524"/>
      <c r="I37" s="1524"/>
      <c r="J37" s="555"/>
      <c r="K37" s="388"/>
      <c r="L37" s="388"/>
      <c r="M37" s="388"/>
      <c r="N37" s="388"/>
      <c r="O37" s="388"/>
      <c r="P37" s="559" t="b">
        <v>0</v>
      </c>
      <c r="Q37" s="559"/>
      <c r="R37" s="388"/>
      <c r="S37" s="388"/>
    </row>
    <row r="38" spans="1:19" ht="15.75" customHeight="1" x14ac:dyDescent="0.25">
      <c r="A38" s="388"/>
      <c r="B38" s="1524" t="s">
        <v>944</v>
      </c>
      <c r="C38" s="1524"/>
      <c r="D38" s="1524"/>
      <c r="E38" s="555"/>
      <c r="F38" s="388"/>
      <c r="G38" s="1524" t="s">
        <v>946</v>
      </c>
      <c r="H38" s="1524"/>
      <c r="I38" s="1524"/>
      <c r="J38" s="555"/>
      <c r="K38" s="388"/>
      <c r="L38" s="388"/>
      <c r="M38" s="388"/>
      <c r="N38" s="388"/>
      <c r="O38" s="388"/>
      <c r="P38" s="559"/>
      <c r="Q38" s="559"/>
      <c r="R38" s="388"/>
      <c r="S38" s="388"/>
    </row>
    <row r="39" spans="1:19" ht="9.75" customHeight="1" x14ac:dyDescent="0.25">
      <c r="A39" s="388"/>
      <c r="B39" s="388"/>
      <c r="C39" s="388"/>
      <c r="D39" s="388"/>
      <c r="E39" s="388"/>
      <c r="F39" s="388"/>
      <c r="G39" s="388"/>
      <c r="H39" s="388"/>
      <c r="I39" s="388"/>
      <c r="J39" s="388"/>
      <c r="K39" s="388"/>
      <c r="L39" s="388"/>
      <c r="M39" s="388"/>
      <c r="N39" s="388"/>
      <c r="O39" s="388"/>
      <c r="P39" s="559"/>
      <c r="Q39" s="559"/>
      <c r="R39" s="388"/>
      <c r="S39" s="388"/>
    </row>
    <row r="40" spans="1:19" ht="15" customHeight="1" x14ac:dyDescent="0.25">
      <c r="A40" s="388"/>
      <c r="B40" s="388" t="s">
        <v>1137</v>
      </c>
      <c r="C40" s="388"/>
      <c r="D40" s="388"/>
      <c r="E40" s="388"/>
      <c r="F40" s="388"/>
      <c r="G40" s="388"/>
      <c r="H40" s="388"/>
      <c r="I40" s="388"/>
      <c r="J40" s="388"/>
      <c r="K40" s="388"/>
      <c r="L40" s="388"/>
      <c r="M40" s="388"/>
      <c r="N40" s="388"/>
      <c r="O40" s="388"/>
      <c r="P40" s="559"/>
      <c r="Q40" s="559"/>
      <c r="R40" s="388"/>
      <c r="S40" s="388"/>
    </row>
    <row r="41" spans="1:19" ht="29.25" customHeight="1" x14ac:dyDescent="0.25">
      <c r="A41" s="388"/>
      <c r="B41" s="2225"/>
      <c r="C41" s="2225"/>
      <c r="D41" s="2225"/>
      <c r="E41" s="2225"/>
      <c r="F41" s="2225"/>
      <c r="G41" s="2225"/>
      <c r="H41" s="2225"/>
      <c r="I41" s="2225"/>
      <c r="J41" s="2225"/>
      <c r="K41" s="2225"/>
      <c r="L41" s="2225"/>
      <c r="M41" s="2225"/>
      <c r="N41" s="388"/>
      <c r="O41" s="388"/>
      <c r="P41" s="559"/>
      <c r="Q41" s="559"/>
      <c r="R41" s="388"/>
      <c r="S41" s="388"/>
    </row>
    <row r="42" spans="1:19" x14ac:dyDescent="0.25">
      <c r="A42" s="388"/>
      <c r="B42" s="388"/>
      <c r="C42" s="388"/>
      <c r="D42" s="388"/>
      <c r="E42" s="388"/>
      <c r="F42" s="388"/>
      <c r="G42" s="388"/>
      <c r="H42" s="388"/>
      <c r="I42" s="388"/>
      <c r="J42" s="388"/>
      <c r="K42" s="388"/>
      <c r="L42" s="388"/>
      <c r="M42" s="388"/>
      <c r="N42" s="388"/>
      <c r="O42" s="388"/>
      <c r="P42" s="388"/>
      <c r="Q42" s="388"/>
      <c r="R42" s="388"/>
      <c r="S42" s="388"/>
    </row>
    <row r="43" spans="1:19" x14ac:dyDescent="0.25">
      <c r="A43" s="388"/>
      <c r="B43" s="388"/>
      <c r="C43" s="388"/>
      <c r="D43" s="388"/>
      <c r="E43" s="388"/>
      <c r="F43" s="388"/>
      <c r="G43" s="388"/>
      <c r="H43" s="388"/>
      <c r="I43" s="388"/>
      <c r="J43" s="388"/>
      <c r="K43" s="388"/>
      <c r="L43" s="388"/>
      <c r="M43" s="388"/>
      <c r="N43" s="388"/>
      <c r="O43" s="388"/>
      <c r="P43" s="388"/>
      <c r="Q43" s="388"/>
      <c r="R43" s="388"/>
      <c r="S43" s="388"/>
    </row>
    <row r="44" spans="1:19" ht="15.75" x14ac:dyDescent="0.25">
      <c r="A44" s="388"/>
      <c r="B44" s="411" t="s">
        <v>750</v>
      </c>
      <c r="C44" s="388"/>
      <c r="D44" s="388"/>
      <c r="E44" s="388"/>
      <c r="F44" s="388"/>
      <c r="G44" s="388"/>
      <c r="H44" s="388"/>
      <c r="I44" s="388"/>
      <c r="J44" s="388"/>
      <c r="K44" s="388"/>
      <c r="L44" s="388"/>
      <c r="M44" s="388"/>
      <c r="N44" s="388"/>
      <c r="O44" s="388"/>
      <c r="P44" s="388"/>
      <c r="Q44" s="388"/>
      <c r="R44" s="388"/>
      <c r="S44" s="388"/>
    </row>
    <row r="45" spans="1:19" ht="12" customHeight="1" x14ac:dyDescent="0.25">
      <c r="A45" s="388"/>
      <c r="C45" s="388"/>
      <c r="D45" s="388"/>
      <c r="E45" s="388"/>
      <c r="F45" s="388"/>
      <c r="G45" s="388"/>
      <c r="H45" s="388"/>
      <c r="I45" s="388"/>
      <c r="J45" s="388"/>
      <c r="K45" s="388"/>
      <c r="L45" s="388"/>
      <c r="M45" s="388"/>
      <c r="N45" s="388"/>
      <c r="O45" s="388"/>
      <c r="P45" s="388"/>
      <c r="Q45" s="388"/>
      <c r="R45" s="388"/>
      <c r="S45" s="388"/>
    </row>
    <row r="46" spans="1:19" x14ac:dyDescent="0.25">
      <c r="A46" s="388"/>
      <c r="B46" s="391" t="s">
        <v>778</v>
      </c>
      <c r="C46" s="388"/>
      <c r="D46" s="388"/>
      <c r="E46" s="388"/>
      <c r="F46" s="388"/>
      <c r="G46" s="388"/>
      <c r="H46" s="388"/>
      <c r="I46" s="388"/>
      <c r="J46" s="388"/>
      <c r="K46" s="388"/>
      <c r="L46" s="388"/>
      <c r="M46" s="388"/>
      <c r="N46" s="388"/>
      <c r="O46" s="388"/>
      <c r="P46" s="388"/>
      <c r="Q46" s="388"/>
      <c r="R46" s="388"/>
      <c r="S46" s="388"/>
    </row>
    <row r="47" spans="1:19" x14ac:dyDescent="0.25">
      <c r="A47" s="388"/>
      <c r="B47" s="391" t="s">
        <v>759</v>
      </c>
      <c r="C47" s="388"/>
      <c r="D47" s="388"/>
      <c r="E47" s="388"/>
      <c r="F47" s="388"/>
      <c r="G47" s="388"/>
      <c r="H47" s="388"/>
      <c r="I47" s="388"/>
      <c r="J47" s="388"/>
      <c r="K47" s="388"/>
      <c r="L47" s="388"/>
      <c r="M47" s="388"/>
      <c r="N47" s="388"/>
      <c r="O47" s="388"/>
      <c r="P47" s="388"/>
      <c r="Q47" s="388"/>
      <c r="R47" s="388"/>
      <c r="S47" s="388"/>
    </row>
    <row r="48" spans="1:19" x14ac:dyDescent="0.25">
      <c r="A48" s="388"/>
      <c r="B48" s="391"/>
      <c r="C48" s="388"/>
      <c r="D48" s="388"/>
      <c r="E48" s="388"/>
      <c r="F48" s="388"/>
      <c r="G48" s="388"/>
      <c r="H48" s="388"/>
      <c r="I48" s="388"/>
      <c r="J48" s="388"/>
      <c r="K48" s="388"/>
      <c r="L48" s="388"/>
      <c r="M48" s="388"/>
      <c r="O48" s="388"/>
      <c r="P48" s="388"/>
      <c r="Q48" s="388"/>
      <c r="R48" s="388"/>
      <c r="S48" s="388"/>
    </row>
    <row r="49" spans="1:19" ht="15.75" x14ac:dyDescent="0.25">
      <c r="A49" s="388"/>
      <c r="B49" s="2221" t="s">
        <v>1075</v>
      </c>
      <c r="C49" s="2221"/>
      <c r="D49" s="2221"/>
      <c r="E49" s="2221"/>
      <c r="F49" s="2221"/>
      <c r="G49" s="2221"/>
      <c r="H49" s="2221"/>
      <c r="I49" s="2221"/>
      <c r="J49" s="2221"/>
      <c r="K49" s="2221"/>
      <c r="L49" s="2221"/>
      <c r="M49" s="2221"/>
      <c r="N49" s="2221"/>
      <c r="O49" s="388"/>
      <c r="P49" s="388"/>
      <c r="Q49" s="388"/>
      <c r="R49" s="388"/>
      <c r="S49" s="388"/>
    </row>
    <row r="50" spans="1:19" ht="33.75" customHeight="1" x14ac:dyDescent="0.25">
      <c r="A50" s="388"/>
      <c r="B50" s="2222"/>
      <c r="C50" s="2222"/>
      <c r="D50" s="2222"/>
      <c r="E50" s="2222"/>
      <c r="F50" s="2222"/>
      <c r="G50" s="2222"/>
      <c r="H50" s="2222"/>
      <c r="I50" s="2222"/>
      <c r="J50" s="2222"/>
      <c r="K50" s="2222"/>
      <c r="L50" s="2222"/>
      <c r="M50" s="2222"/>
      <c r="N50" s="2222"/>
      <c r="O50" s="388"/>
      <c r="P50" s="388"/>
      <c r="Q50" s="388"/>
      <c r="R50" s="388"/>
      <c r="S50" s="388"/>
    </row>
    <row r="51" spans="1:19" x14ac:dyDescent="0.25">
      <c r="A51" s="388"/>
      <c r="B51" s="391"/>
      <c r="C51" s="388"/>
      <c r="D51" s="388"/>
      <c r="E51" s="388"/>
      <c r="F51" s="388"/>
      <c r="G51" s="388"/>
      <c r="H51" s="388"/>
      <c r="I51" s="388"/>
      <c r="J51" s="388"/>
      <c r="K51" s="388"/>
      <c r="L51" s="388"/>
      <c r="M51" s="388"/>
      <c r="N51" s="388"/>
      <c r="O51" s="388"/>
      <c r="P51" s="388"/>
      <c r="Q51" s="388"/>
      <c r="R51" s="388"/>
      <c r="S51" s="388"/>
    </row>
    <row r="52" spans="1:19" ht="15.75" x14ac:dyDescent="0.25">
      <c r="A52" s="388"/>
      <c r="B52" s="2213" t="s">
        <v>1074</v>
      </c>
      <c r="C52" s="2213"/>
      <c r="D52" s="2213"/>
      <c r="E52" s="2213"/>
      <c r="F52" s="2213"/>
      <c r="G52" s="2214" t="s">
        <v>783</v>
      </c>
      <c r="H52" s="2215"/>
      <c r="I52" s="2215"/>
      <c r="J52" s="2215"/>
      <c r="K52" s="2215"/>
      <c r="L52" s="2215"/>
      <c r="M52" s="2215"/>
      <c r="N52" s="2216"/>
      <c r="O52" s="388"/>
      <c r="P52" s="388"/>
      <c r="Q52" s="388"/>
      <c r="R52" s="388"/>
      <c r="S52" s="388"/>
    </row>
    <row r="53" spans="1:19" x14ac:dyDescent="0.25">
      <c r="A53" s="388"/>
      <c r="B53" s="2217" t="s">
        <v>209</v>
      </c>
      <c r="C53" s="2217"/>
      <c r="D53" s="2217"/>
      <c r="E53" s="2217"/>
      <c r="F53" s="2217"/>
      <c r="G53" s="2198"/>
      <c r="H53" s="2198"/>
      <c r="I53" s="2198"/>
      <c r="J53" s="2198"/>
      <c r="K53" s="2198"/>
      <c r="L53" s="2198"/>
      <c r="M53" s="2198"/>
      <c r="N53" s="2199"/>
      <c r="O53" s="388"/>
      <c r="P53" s="388"/>
      <c r="Q53" s="388"/>
      <c r="R53" s="388"/>
      <c r="S53" s="388"/>
    </row>
    <row r="54" spans="1:19" x14ac:dyDescent="0.25">
      <c r="A54" s="388"/>
      <c r="B54" s="2217" t="s">
        <v>779</v>
      </c>
      <c r="C54" s="2217"/>
      <c r="D54" s="2217"/>
      <c r="E54" s="2217"/>
      <c r="F54" s="2217"/>
      <c r="G54" s="2196"/>
      <c r="H54" s="2196"/>
      <c r="I54" s="2196"/>
      <c r="J54" s="2196"/>
      <c r="K54" s="2196"/>
      <c r="L54" s="2196" t="b">
        <v>0</v>
      </c>
      <c r="M54" s="2196"/>
      <c r="N54" s="2197"/>
      <c r="O54" s="388"/>
      <c r="P54" s="388"/>
      <c r="Q54" s="388"/>
      <c r="R54" s="388"/>
      <c r="S54" s="388"/>
    </row>
    <row r="55" spans="1:19" x14ac:dyDescent="0.25">
      <c r="A55" s="388"/>
      <c r="B55" s="2217" t="s">
        <v>55</v>
      </c>
      <c r="C55" s="2217"/>
      <c r="D55" s="2217"/>
      <c r="E55" s="2217"/>
      <c r="F55" s="2217"/>
      <c r="G55" s="2198"/>
      <c r="H55" s="2198"/>
      <c r="I55" s="2198"/>
      <c r="J55" s="2198"/>
      <c r="K55" s="2198"/>
      <c r="L55" s="2198"/>
      <c r="M55" s="2198"/>
      <c r="N55" s="2199"/>
      <c r="O55" s="388"/>
      <c r="P55" s="388"/>
      <c r="Q55" s="388"/>
      <c r="R55" s="388"/>
      <c r="S55" s="388"/>
    </row>
    <row r="56" spans="1:19" x14ac:dyDescent="0.25">
      <c r="A56" s="388"/>
      <c r="B56" s="2217" t="s">
        <v>780</v>
      </c>
      <c r="C56" s="2217"/>
      <c r="D56" s="2217"/>
      <c r="E56" s="2217"/>
      <c r="F56" s="2217"/>
      <c r="G56" s="2196"/>
      <c r="H56" s="2196"/>
      <c r="I56" s="2196"/>
      <c r="J56" s="2196"/>
      <c r="K56" s="2196"/>
      <c r="L56" s="2196"/>
      <c r="M56" s="2196"/>
      <c r="N56" s="2197"/>
      <c r="O56" s="388"/>
      <c r="P56" s="388"/>
      <c r="Q56" s="388"/>
      <c r="R56" s="388"/>
      <c r="S56" s="388"/>
    </row>
    <row r="57" spans="1:19" x14ac:dyDescent="0.25">
      <c r="A57" s="388"/>
      <c r="B57" s="2217" t="s">
        <v>781</v>
      </c>
      <c r="C57" s="2217"/>
      <c r="D57" s="2217"/>
      <c r="E57" s="2217"/>
      <c r="F57" s="2217"/>
      <c r="G57" s="2198"/>
      <c r="H57" s="2198"/>
      <c r="I57" s="2198"/>
      <c r="J57" s="2198"/>
      <c r="K57" s="2198"/>
      <c r="L57" s="2198"/>
      <c r="M57" s="2198"/>
      <c r="N57" s="2199"/>
      <c r="O57" s="388"/>
      <c r="P57" s="388"/>
      <c r="Q57" s="388"/>
      <c r="R57" s="388"/>
      <c r="S57" s="388"/>
    </row>
    <row r="58" spans="1:19" x14ac:dyDescent="0.25">
      <c r="A58" s="388"/>
      <c r="B58" s="2223" t="s">
        <v>1146</v>
      </c>
      <c r="C58" s="2223"/>
      <c r="D58" s="2223"/>
      <c r="E58" s="2223"/>
      <c r="F58" s="2223"/>
      <c r="G58" s="2196"/>
      <c r="H58" s="2196"/>
      <c r="I58" s="2196"/>
      <c r="J58" s="2196"/>
      <c r="K58" s="2196"/>
      <c r="L58" s="2196"/>
      <c r="M58" s="2196"/>
      <c r="N58" s="2197"/>
      <c r="O58" s="388"/>
      <c r="P58" s="388"/>
      <c r="Q58" s="388"/>
      <c r="R58" s="388"/>
      <c r="S58" s="388"/>
    </row>
    <row r="59" spans="1:19" x14ac:dyDescent="0.25">
      <c r="A59" s="388"/>
      <c r="B59" s="2223" t="s">
        <v>1147</v>
      </c>
      <c r="C59" s="2223"/>
      <c r="D59" s="2223"/>
      <c r="E59" s="2223"/>
      <c r="F59" s="2223"/>
      <c r="G59" s="610"/>
      <c r="H59" s="610"/>
      <c r="I59" s="610"/>
      <c r="J59" s="610"/>
      <c r="K59" s="610"/>
      <c r="L59" s="610"/>
      <c r="M59" s="610"/>
      <c r="N59" s="611"/>
      <c r="O59" s="388"/>
      <c r="P59" s="388"/>
      <c r="Q59" s="388"/>
      <c r="R59" s="388"/>
      <c r="S59" s="388"/>
    </row>
    <row r="60" spans="1:19" x14ac:dyDescent="0.25">
      <c r="A60" s="388"/>
      <c r="B60" s="2217" t="s">
        <v>782</v>
      </c>
      <c r="C60" s="2217"/>
      <c r="D60" s="2217"/>
      <c r="E60" s="2217"/>
      <c r="F60" s="2217"/>
      <c r="G60" s="2200"/>
      <c r="H60" s="2201"/>
      <c r="I60" s="2201"/>
      <c r="J60" s="2201"/>
      <c r="K60" s="2201"/>
      <c r="L60" s="2201"/>
      <c r="M60" s="2201"/>
      <c r="N60" s="2202"/>
      <c r="O60" s="388"/>
      <c r="P60" s="388"/>
      <c r="Q60" s="388"/>
      <c r="R60" s="388"/>
      <c r="S60" s="388"/>
    </row>
    <row r="61" spans="1:19" x14ac:dyDescent="0.25">
      <c r="A61" s="388"/>
      <c r="B61" s="2217" t="s">
        <v>320</v>
      </c>
      <c r="C61" s="2217"/>
      <c r="D61" s="2217"/>
      <c r="E61" s="2217"/>
      <c r="F61" s="2217"/>
      <c r="G61" s="2198"/>
      <c r="H61" s="2198"/>
      <c r="I61" s="2198"/>
      <c r="J61" s="2198"/>
      <c r="K61" s="2198"/>
      <c r="L61" s="2198"/>
      <c r="M61" s="2198"/>
      <c r="N61" s="2199"/>
      <c r="O61" s="388"/>
      <c r="P61" s="388"/>
      <c r="Q61" s="388"/>
      <c r="R61" s="388"/>
      <c r="S61" s="388"/>
    </row>
    <row r="62" spans="1:19" x14ac:dyDescent="0.25">
      <c r="A62" s="388"/>
      <c r="B62" s="606"/>
      <c r="C62" s="607"/>
      <c r="D62" s="607"/>
      <c r="E62" s="607"/>
      <c r="F62" s="607"/>
      <c r="G62" s="607"/>
      <c r="H62" s="607"/>
      <c r="I62" s="607"/>
      <c r="J62" s="607"/>
      <c r="K62" s="607"/>
      <c r="L62" s="607"/>
      <c r="M62" s="607"/>
      <c r="N62" s="607"/>
      <c r="O62" s="388"/>
      <c r="P62" s="388"/>
      <c r="Q62" s="388"/>
      <c r="R62" s="388"/>
      <c r="S62" s="388"/>
    </row>
    <row r="63" spans="1:19" ht="16.5" customHeight="1" x14ac:dyDescent="0.25">
      <c r="A63" s="388"/>
      <c r="B63" s="410" t="s">
        <v>391</v>
      </c>
      <c r="C63" s="2213" t="s">
        <v>752</v>
      </c>
      <c r="D63" s="2213"/>
      <c r="E63" s="2213"/>
      <c r="F63" s="2213"/>
      <c r="G63" s="2218" t="s">
        <v>783</v>
      </c>
      <c r="H63" s="2219"/>
      <c r="I63" s="2219"/>
      <c r="J63" s="2219"/>
      <c r="K63" s="2219"/>
      <c r="L63" s="2219"/>
      <c r="M63" s="2219"/>
      <c r="N63" s="2220"/>
      <c r="O63" s="388"/>
      <c r="P63" s="388"/>
      <c r="Q63" s="388"/>
      <c r="R63" s="388"/>
      <c r="S63" s="388"/>
    </row>
    <row r="64" spans="1:19" ht="21" customHeight="1" x14ac:dyDescent="0.25">
      <c r="A64" s="388"/>
      <c r="B64" s="601" t="s">
        <v>62</v>
      </c>
      <c r="C64" s="2204" t="s">
        <v>760</v>
      </c>
      <c r="D64" s="2204"/>
      <c r="E64" s="2204"/>
      <c r="F64" s="2204"/>
      <c r="G64" s="2189"/>
      <c r="H64" s="2190"/>
      <c r="I64" s="2190"/>
      <c r="J64" s="2190"/>
      <c r="K64" s="2190"/>
      <c r="L64" s="2190"/>
      <c r="M64" s="2190"/>
      <c r="N64" s="2191"/>
      <c r="O64" s="388"/>
      <c r="P64" s="388"/>
      <c r="Q64" s="388"/>
      <c r="R64" s="388"/>
      <c r="S64" s="388"/>
    </row>
    <row r="65" spans="1:19" ht="21" customHeight="1" x14ac:dyDescent="0.25">
      <c r="A65" s="388"/>
      <c r="B65" s="602" t="s">
        <v>66</v>
      </c>
      <c r="C65" s="2203" t="s">
        <v>51</v>
      </c>
      <c r="D65" s="2203"/>
      <c r="E65" s="2203" t="s">
        <v>18</v>
      </c>
      <c r="F65" s="2203"/>
      <c r="G65" s="2192"/>
      <c r="H65" s="2193"/>
      <c r="I65" s="2193"/>
      <c r="J65" s="2193"/>
      <c r="K65" s="2193"/>
      <c r="L65" s="2193"/>
      <c r="M65" s="2193"/>
      <c r="N65" s="2194"/>
      <c r="O65" s="388"/>
      <c r="P65" s="388"/>
      <c r="Q65" s="388"/>
      <c r="R65" s="388"/>
      <c r="S65" s="388"/>
    </row>
    <row r="66" spans="1:19" ht="21" customHeight="1" x14ac:dyDescent="0.25">
      <c r="A66" s="388"/>
      <c r="B66" s="601" t="s">
        <v>751</v>
      </c>
      <c r="C66" s="2204" t="s">
        <v>761</v>
      </c>
      <c r="D66" s="2204"/>
      <c r="E66" s="2204" t="s">
        <v>394</v>
      </c>
      <c r="F66" s="2204"/>
      <c r="G66" s="2189"/>
      <c r="H66" s="2190"/>
      <c r="I66" s="2190"/>
      <c r="J66" s="2190"/>
      <c r="K66" s="2190"/>
      <c r="L66" s="2190"/>
      <c r="M66" s="2190"/>
      <c r="N66" s="2191"/>
      <c r="O66" s="388"/>
      <c r="P66" s="388"/>
      <c r="Q66" s="388"/>
      <c r="R66" s="388"/>
      <c r="S66" s="388"/>
    </row>
    <row r="67" spans="1:19" ht="21" customHeight="1" x14ac:dyDescent="0.25">
      <c r="A67" s="388"/>
      <c r="B67" s="602" t="s">
        <v>73</v>
      </c>
      <c r="C67" s="2203" t="s">
        <v>74</v>
      </c>
      <c r="D67" s="2203"/>
      <c r="E67" s="2203" t="s">
        <v>22</v>
      </c>
      <c r="F67" s="2203"/>
      <c r="G67" s="2192"/>
      <c r="H67" s="2193"/>
      <c r="I67" s="2193"/>
      <c r="J67" s="2193"/>
      <c r="K67" s="2193"/>
      <c r="L67" s="2193"/>
      <c r="M67" s="2193"/>
      <c r="N67" s="2194"/>
      <c r="O67" s="388"/>
      <c r="P67" s="388"/>
      <c r="Q67" s="388"/>
      <c r="R67" s="388"/>
      <c r="S67" s="388"/>
    </row>
    <row r="68" spans="1:19" ht="21" customHeight="1" x14ac:dyDescent="0.25">
      <c r="A68" s="388"/>
      <c r="B68" s="601" t="s">
        <v>77</v>
      </c>
      <c r="C68" s="2224" t="s">
        <v>1139</v>
      </c>
      <c r="D68" s="2224"/>
      <c r="E68" s="2224" t="s">
        <v>100</v>
      </c>
      <c r="F68" s="2224"/>
      <c r="G68" s="2189"/>
      <c r="H68" s="2190"/>
      <c r="I68" s="2190"/>
      <c r="J68" s="2190"/>
      <c r="K68" s="2190"/>
      <c r="L68" s="2190"/>
      <c r="M68" s="2190"/>
      <c r="N68" s="2191"/>
      <c r="O68" s="388"/>
      <c r="P68" s="388"/>
      <c r="Q68" s="388"/>
      <c r="R68" s="388"/>
      <c r="S68" s="388"/>
    </row>
    <row r="69" spans="1:19" ht="21" customHeight="1" x14ac:dyDescent="0.25">
      <c r="A69" s="388"/>
      <c r="B69" s="602" t="s">
        <v>81</v>
      </c>
      <c r="C69" s="2203" t="s">
        <v>78</v>
      </c>
      <c r="D69" s="2203"/>
      <c r="E69" s="2203" t="s">
        <v>99</v>
      </c>
      <c r="F69" s="2203"/>
      <c r="G69" s="2192"/>
      <c r="H69" s="2193"/>
      <c r="I69" s="2193"/>
      <c r="J69" s="2193"/>
      <c r="K69" s="2193"/>
      <c r="L69" s="2193"/>
      <c r="M69" s="2193"/>
      <c r="N69" s="2194"/>
      <c r="O69" s="388"/>
      <c r="P69" s="388"/>
      <c r="Q69" s="388"/>
      <c r="R69" s="388"/>
      <c r="S69" s="388"/>
    </row>
    <row r="70" spans="1:19" ht="21" customHeight="1" x14ac:dyDescent="0.25">
      <c r="A70" s="388"/>
      <c r="B70" s="601" t="s">
        <v>102</v>
      </c>
      <c r="C70" s="2204" t="s">
        <v>762</v>
      </c>
      <c r="D70" s="2204"/>
      <c r="E70" s="2204" t="s">
        <v>130</v>
      </c>
      <c r="F70" s="2204"/>
      <c r="G70" s="2189"/>
      <c r="H70" s="2190"/>
      <c r="I70" s="2190"/>
      <c r="J70" s="2190"/>
      <c r="K70" s="2190"/>
      <c r="L70" s="2190"/>
      <c r="M70" s="2190"/>
      <c r="N70" s="2191"/>
      <c r="O70" s="388"/>
      <c r="P70" s="388"/>
      <c r="Q70" s="388"/>
      <c r="R70" s="388"/>
      <c r="S70" s="388"/>
    </row>
    <row r="71" spans="1:19" ht="21" customHeight="1" x14ac:dyDescent="0.25">
      <c r="A71" s="388"/>
      <c r="B71" s="602" t="s">
        <v>763</v>
      </c>
      <c r="C71" s="2203" t="s">
        <v>393</v>
      </c>
      <c r="D71" s="2203"/>
      <c r="E71" s="2203"/>
      <c r="F71" s="2203"/>
      <c r="G71" s="2192"/>
      <c r="H71" s="2193"/>
      <c r="I71" s="2193"/>
      <c r="J71" s="2193"/>
      <c r="K71" s="2193"/>
      <c r="L71" s="2193"/>
      <c r="M71" s="2193"/>
      <c r="N71" s="2194"/>
      <c r="O71" s="388"/>
      <c r="P71" s="388"/>
      <c r="Q71" s="388"/>
      <c r="R71" s="388"/>
      <c r="S71" s="388"/>
    </row>
    <row r="72" spans="1:19" ht="21" customHeight="1" x14ac:dyDescent="0.25">
      <c r="A72" s="388"/>
      <c r="B72" s="594" t="s">
        <v>88</v>
      </c>
      <c r="C72" s="2204" t="s">
        <v>89</v>
      </c>
      <c r="D72" s="2204"/>
      <c r="E72" s="2204" t="s">
        <v>35</v>
      </c>
      <c r="F72" s="2204"/>
      <c r="G72" s="2189"/>
      <c r="H72" s="2190"/>
      <c r="I72" s="2190"/>
      <c r="J72" s="2190"/>
      <c r="K72" s="2190"/>
      <c r="L72" s="2190"/>
      <c r="M72" s="2190"/>
      <c r="N72" s="2191"/>
      <c r="O72" s="388"/>
      <c r="P72" s="388"/>
      <c r="Q72" s="388"/>
      <c r="R72" s="388"/>
      <c r="S72" s="388"/>
    </row>
    <row r="73" spans="1:19" ht="21" customHeight="1" x14ac:dyDescent="0.25">
      <c r="A73" s="388"/>
      <c r="B73" s="595" t="s">
        <v>93</v>
      </c>
      <c r="C73" s="2203" t="s">
        <v>94</v>
      </c>
      <c r="D73" s="2203"/>
      <c r="E73" s="2203" t="s">
        <v>36</v>
      </c>
      <c r="F73" s="2203"/>
      <c r="G73" s="2192"/>
      <c r="H73" s="2193"/>
      <c r="I73" s="2193"/>
      <c r="J73" s="2193"/>
      <c r="K73" s="2193"/>
      <c r="L73" s="2193"/>
      <c r="M73" s="2193"/>
      <c r="N73" s="2194"/>
      <c r="O73" s="388"/>
      <c r="P73" s="388"/>
      <c r="Q73" s="388"/>
      <c r="R73" s="388"/>
      <c r="S73" s="388"/>
    </row>
    <row r="74" spans="1:19" ht="21" customHeight="1" x14ac:dyDescent="0.25">
      <c r="A74" s="388"/>
      <c r="B74" s="603" t="s">
        <v>753</v>
      </c>
      <c r="C74" s="2204" t="s">
        <v>765</v>
      </c>
      <c r="D74" s="2204"/>
      <c r="E74" s="2204" t="s">
        <v>264</v>
      </c>
      <c r="F74" s="2204"/>
      <c r="G74" s="2189"/>
      <c r="H74" s="2190"/>
      <c r="I74" s="2190"/>
      <c r="J74" s="2190"/>
      <c r="K74" s="2190"/>
      <c r="L74" s="2190"/>
      <c r="M74" s="2190"/>
      <c r="N74" s="2191"/>
      <c r="O74" s="388"/>
      <c r="P74" s="388"/>
      <c r="Q74" s="388"/>
      <c r="R74" s="388"/>
      <c r="S74" s="388"/>
    </row>
    <row r="75" spans="1:19" ht="21" customHeight="1" x14ac:dyDescent="0.25">
      <c r="A75" s="388"/>
      <c r="B75" s="595" t="s">
        <v>764</v>
      </c>
      <c r="C75" s="2203" t="s">
        <v>393</v>
      </c>
      <c r="D75" s="2203"/>
      <c r="E75" s="2203" t="s">
        <v>393</v>
      </c>
      <c r="F75" s="2203"/>
      <c r="G75" s="2192"/>
      <c r="H75" s="2193"/>
      <c r="I75" s="2193"/>
      <c r="J75" s="2193"/>
      <c r="K75" s="2193"/>
      <c r="L75" s="2193"/>
      <c r="M75" s="2193"/>
      <c r="N75" s="2194"/>
      <c r="O75" s="388"/>
      <c r="P75" s="388"/>
      <c r="Q75" s="388"/>
      <c r="R75" s="388"/>
      <c r="S75" s="388"/>
    </row>
    <row r="76" spans="1:19" ht="21" customHeight="1" x14ac:dyDescent="0.25">
      <c r="A76" s="388"/>
      <c r="B76" s="596" t="s">
        <v>754</v>
      </c>
      <c r="C76" s="2204" t="s">
        <v>664</v>
      </c>
      <c r="D76" s="2204"/>
      <c r="E76" s="2204" t="s">
        <v>640</v>
      </c>
      <c r="F76" s="2204"/>
      <c r="G76" s="2189"/>
      <c r="H76" s="2190"/>
      <c r="I76" s="2190"/>
      <c r="J76" s="2190"/>
      <c r="K76" s="2190"/>
      <c r="L76" s="2190"/>
      <c r="M76" s="2190"/>
      <c r="N76" s="2191"/>
      <c r="O76" s="388"/>
      <c r="P76" s="388"/>
      <c r="Q76" s="388"/>
      <c r="R76" s="388"/>
      <c r="S76" s="388"/>
    </row>
    <row r="77" spans="1:19" ht="21" customHeight="1" x14ac:dyDescent="0.25">
      <c r="A77" s="388"/>
      <c r="B77" s="597" t="s">
        <v>63</v>
      </c>
      <c r="C77" s="2195" t="s">
        <v>873</v>
      </c>
      <c r="D77" s="2195"/>
      <c r="E77" s="2195" t="s">
        <v>665</v>
      </c>
      <c r="F77" s="2195"/>
      <c r="G77" s="2192"/>
      <c r="H77" s="2193"/>
      <c r="I77" s="2193"/>
      <c r="J77" s="2193"/>
      <c r="K77" s="2193"/>
      <c r="L77" s="2193"/>
      <c r="M77" s="2193"/>
      <c r="N77" s="2194"/>
      <c r="O77" s="388"/>
      <c r="P77" s="388"/>
      <c r="Q77" s="388"/>
      <c r="R77" s="388"/>
      <c r="S77" s="388"/>
    </row>
    <row r="78" spans="1:19" ht="21" customHeight="1" x14ac:dyDescent="0.25">
      <c r="A78" s="388"/>
      <c r="B78" s="596" t="s">
        <v>67</v>
      </c>
      <c r="C78" s="2204" t="s">
        <v>661</v>
      </c>
      <c r="D78" s="2204"/>
      <c r="E78" s="2204" t="s">
        <v>666</v>
      </c>
      <c r="F78" s="2204"/>
      <c r="G78" s="2189"/>
      <c r="H78" s="2190"/>
      <c r="I78" s="2190"/>
      <c r="J78" s="2190"/>
      <c r="K78" s="2190"/>
      <c r="L78" s="2190"/>
      <c r="M78" s="2190"/>
      <c r="N78" s="2191"/>
      <c r="O78" s="388"/>
      <c r="P78" s="388"/>
      <c r="Q78" s="388"/>
      <c r="R78" s="388"/>
      <c r="S78" s="388"/>
    </row>
    <row r="79" spans="1:19" ht="21" customHeight="1" x14ac:dyDescent="0.25">
      <c r="A79" s="388"/>
      <c r="B79" s="597" t="s">
        <v>71</v>
      </c>
      <c r="C79" s="2203" t="s">
        <v>663</v>
      </c>
      <c r="D79" s="2203"/>
      <c r="E79" s="2203" t="s">
        <v>667</v>
      </c>
      <c r="F79" s="2203"/>
      <c r="G79" s="2192"/>
      <c r="H79" s="2193"/>
      <c r="I79" s="2193"/>
      <c r="J79" s="2193"/>
      <c r="K79" s="2193"/>
      <c r="L79" s="2193"/>
      <c r="M79" s="2193"/>
      <c r="N79" s="2194"/>
      <c r="O79" s="388"/>
      <c r="P79" s="388"/>
      <c r="Q79" s="388"/>
      <c r="R79" s="388"/>
      <c r="S79" s="388"/>
    </row>
    <row r="80" spans="1:19" ht="21" customHeight="1" x14ac:dyDescent="0.25">
      <c r="A80" s="388"/>
      <c r="B80" s="596" t="s">
        <v>75</v>
      </c>
      <c r="C80" s="2204" t="s">
        <v>662</v>
      </c>
      <c r="D80" s="2204"/>
      <c r="E80" s="2204" t="s">
        <v>668</v>
      </c>
      <c r="F80" s="2204"/>
      <c r="G80" s="2189"/>
      <c r="H80" s="2190"/>
      <c r="I80" s="2190"/>
      <c r="J80" s="2190"/>
      <c r="K80" s="2190"/>
      <c r="L80" s="2190"/>
      <c r="M80" s="2190"/>
      <c r="N80" s="2191"/>
      <c r="O80" s="388"/>
      <c r="P80" s="388"/>
      <c r="Q80" s="388"/>
      <c r="R80" s="388"/>
      <c r="S80" s="388"/>
    </row>
    <row r="81" spans="1:19" ht="21" customHeight="1" x14ac:dyDescent="0.25">
      <c r="A81" s="388"/>
      <c r="B81" s="597" t="s">
        <v>641</v>
      </c>
      <c r="C81" s="2195" t="s">
        <v>857</v>
      </c>
      <c r="D81" s="2195"/>
      <c r="E81" s="2195" t="s">
        <v>669</v>
      </c>
      <c r="F81" s="2195"/>
      <c r="G81" s="2192"/>
      <c r="H81" s="2193"/>
      <c r="I81" s="2193"/>
      <c r="J81" s="2193"/>
      <c r="K81" s="2193"/>
      <c r="L81" s="2193"/>
      <c r="M81" s="2193"/>
      <c r="N81" s="2194"/>
      <c r="O81" s="388"/>
      <c r="P81" s="388"/>
      <c r="Q81" s="388"/>
      <c r="R81" s="388"/>
      <c r="S81" s="388"/>
    </row>
    <row r="82" spans="1:19" ht="21" customHeight="1" x14ac:dyDescent="0.25">
      <c r="A82" s="388"/>
      <c r="B82" s="598" t="s">
        <v>83</v>
      </c>
      <c r="C82" s="2203" t="s">
        <v>84</v>
      </c>
      <c r="D82" s="2203"/>
      <c r="E82" s="2203" t="s">
        <v>12</v>
      </c>
      <c r="F82" s="2203"/>
      <c r="G82" s="2189"/>
      <c r="H82" s="2190"/>
      <c r="I82" s="2190"/>
      <c r="J82" s="2190"/>
      <c r="K82" s="2190"/>
      <c r="L82" s="2190"/>
      <c r="M82" s="2190"/>
      <c r="N82" s="2191"/>
      <c r="O82" s="388"/>
      <c r="P82" s="388"/>
      <c r="Q82" s="388"/>
      <c r="R82" s="388"/>
      <c r="S82" s="388"/>
    </row>
    <row r="83" spans="1:19" ht="21" customHeight="1" x14ac:dyDescent="0.25">
      <c r="A83" s="388"/>
      <c r="B83" s="599" t="s">
        <v>85</v>
      </c>
      <c r="C83" s="2203" t="s">
        <v>755</v>
      </c>
      <c r="D83" s="2203"/>
      <c r="E83" s="2203" t="s">
        <v>13</v>
      </c>
      <c r="F83" s="2203"/>
      <c r="G83" s="2192"/>
      <c r="H83" s="2193"/>
      <c r="I83" s="2193"/>
      <c r="J83" s="2193"/>
      <c r="K83" s="2193"/>
      <c r="L83" s="2193"/>
      <c r="M83" s="2193"/>
      <c r="N83" s="2194"/>
      <c r="O83" s="388"/>
      <c r="P83" s="388"/>
      <c r="Q83" s="388"/>
      <c r="R83" s="388"/>
      <c r="S83" s="388"/>
    </row>
    <row r="84" spans="1:19" ht="21" customHeight="1" x14ac:dyDescent="0.25">
      <c r="A84" s="388"/>
      <c r="B84" s="598" t="s">
        <v>90</v>
      </c>
      <c r="C84" s="2203" t="s">
        <v>91</v>
      </c>
      <c r="D84" s="2203"/>
      <c r="E84" s="2203" t="s">
        <v>14</v>
      </c>
      <c r="F84" s="2203"/>
      <c r="G84" s="2189"/>
      <c r="H84" s="2190"/>
      <c r="I84" s="2190"/>
      <c r="J84" s="2190"/>
      <c r="K84" s="2190"/>
      <c r="L84" s="2190"/>
      <c r="M84" s="2190"/>
      <c r="N84" s="2191"/>
      <c r="O84" s="388"/>
      <c r="P84" s="388"/>
      <c r="Q84" s="388"/>
      <c r="R84" s="388"/>
      <c r="S84" s="388"/>
    </row>
    <row r="85" spans="1:19" ht="21" customHeight="1" x14ac:dyDescent="0.25">
      <c r="A85" s="388"/>
      <c r="B85" s="599" t="s">
        <v>95</v>
      </c>
      <c r="C85" s="2203" t="s">
        <v>98</v>
      </c>
      <c r="D85" s="2203"/>
      <c r="E85" s="2203" t="s">
        <v>137</v>
      </c>
      <c r="F85" s="2203"/>
      <c r="G85" s="2192"/>
      <c r="H85" s="2193"/>
      <c r="I85" s="2193"/>
      <c r="J85" s="2193"/>
      <c r="K85" s="2193"/>
      <c r="L85" s="2193"/>
      <c r="M85" s="2193"/>
      <c r="N85" s="2194"/>
      <c r="O85" s="388"/>
      <c r="P85" s="388"/>
      <c r="Q85" s="388"/>
      <c r="R85" s="388"/>
      <c r="S85" s="388"/>
    </row>
    <row r="86" spans="1:19" ht="21" customHeight="1" x14ac:dyDescent="0.25">
      <c r="A86" s="388"/>
      <c r="B86" s="599" t="s">
        <v>806</v>
      </c>
      <c r="C86" s="2195" t="s">
        <v>807</v>
      </c>
      <c r="D86" s="2195"/>
      <c r="E86" s="2195" t="s">
        <v>137</v>
      </c>
      <c r="F86" s="2195"/>
      <c r="G86" s="2189"/>
      <c r="H86" s="2190"/>
      <c r="I86" s="2190"/>
      <c r="J86" s="2190"/>
      <c r="K86" s="2190"/>
      <c r="L86" s="2190"/>
      <c r="M86" s="2190"/>
      <c r="N86" s="2191"/>
      <c r="O86" s="388"/>
      <c r="P86" s="388"/>
      <c r="Q86" s="388"/>
      <c r="R86" s="388"/>
      <c r="S86" s="388"/>
    </row>
    <row r="87" spans="1:19" ht="21" customHeight="1" x14ac:dyDescent="0.25">
      <c r="A87" s="388"/>
      <c r="B87" s="600" t="s">
        <v>766</v>
      </c>
      <c r="C87" s="2203" t="s">
        <v>393</v>
      </c>
      <c r="D87" s="2203"/>
      <c r="E87" s="2203" t="s">
        <v>393</v>
      </c>
      <c r="F87" s="2203"/>
      <c r="G87" s="2192"/>
      <c r="H87" s="2193"/>
      <c r="I87" s="2193"/>
      <c r="J87" s="2193"/>
      <c r="K87" s="2193"/>
      <c r="L87" s="2193"/>
      <c r="M87" s="2193"/>
      <c r="N87" s="2194"/>
      <c r="O87" s="388"/>
      <c r="P87" s="388"/>
      <c r="Q87" s="388"/>
      <c r="R87" s="388"/>
      <c r="S87" s="388"/>
    </row>
    <row r="88" spans="1:19" ht="21" customHeight="1" x14ac:dyDescent="0.25">
      <c r="A88" s="388"/>
      <c r="B88" s="589" t="s">
        <v>60</v>
      </c>
      <c r="C88" s="2203" t="s">
        <v>61</v>
      </c>
      <c r="D88" s="2203"/>
      <c r="E88" s="2203" t="s">
        <v>1</v>
      </c>
      <c r="F88" s="2203"/>
      <c r="G88" s="2189"/>
      <c r="H88" s="2190"/>
      <c r="I88" s="2190"/>
      <c r="J88" s="2190"/>
      <c r="K88" s="2190"/>
      <c r="L88" s="2190"/>
      <c r="M88" s="2190"/>
      <c r="N88" s="2191"/>
      <c r="O88" s="388"/>
      <c r="P88" s="388"/>
      <c r="Q88" s="388"/>
      <c r="R88" s="388"/>
      <c r="S88" s="388"/>
    </row>
    <row r="89" spans="1:19" ht="21" customHeight="1" x14ac:dyDescent="0.25">
      <c r="A89" s="388"/>
      <c r="B89" s="588" t="s">
        <v>64</v>
      </c>
      <c r="C89" s="2203" t="s">
        <v>65</v>
      </c>
      <c r="D89" s="2203"/>
      <c r="E89" s="2203" t="s">
        <v>2</v>
      </c>
      <c r="F89" s="2203"/>
      <c r="G89" s="2192"/>
      <c r="H89" s="2193"/>
      <c r="I89" s="2193"/>
      <c r="J89" s="2193"/>
      <c r="K89" s="2193"/>
      <c r="L89" s="2193"/>
      <c r="M89" s="2193"/>
      <c r="N89" s="2194"/>
      <c r="O89" s="388"/>
      <c r="P89" s="388"/>
      <c r="Q89" s="388"/>
      <c r="R89" s="388"/>
      <c r="S89" s="388"/>
    </row>
    <row r="90" spans="1:19" ht="21" customHeight="1" x14ac:dyDescent="0.25">
      <c r="A90" s="388"/>
      <c r="B90" s="589" t="s">
        <v>68</v>
      </c>
      <c r="C90" s="2203" t="s">
        <v>132</v>
      </c>
      <c r="D90" s="2203"/>
      <c r="E90" s="2203" t="s">
        <v>4</v>
      </c>
      <c r="F90" s="2203"/>
      <c r="G90" s="2189"/>
      <c r="H90" s="2190"/>
      <c r="I90" s="2190"/>
      <c r="J90" s="2190"/>
      <c r="K90" s="2190"/>
      <c r="L90" s="2190"/>
      <c r="M90" s="2190"/>
      <c r="N90" s="2191"/>
      <c r="O90" s="388"/>
      <c r="P90" s="388"/>
      <c r="Q90" s="388"/>
      <c r="R90" s="388"/>
      <c r="S90" s="388"/>
    </row>
    <row r="91" spans="1:19" ht="21" customHeight="1" x14ac:dyDescent="0.25">
      <c r="A91" s="388"/>
      <c r="B91" s="590" t="s">
        <v>72</v>
      </c>
      <c r="C91" s="2203" t="s">
        <v>69</v>
      </c>
      <c r="D91" s="2203"/>
      <c r="E91" s="2203" t="s">
        <v>5</v>
      </c>
      <c r="F91" s="2203"/>
      <c r="G91" s="2192"/>
      <c r="H91" s="2193"/>
      <c r="I91" s="2193"/>
      <c r="J91" s="2193"/>
      <c r="K91" s="2193"/>
      <c r="L91" s="2193"/>
      <c r="M91" s="2193"/>
      <c r="N91" s="2194"/>
      <c r="O91" s="388"/>
      <c r="P91" s="388"/>
      <c r="Q91" s="388"/>
      <c r="R91" s="388"/>
      <c r="S91" s="388"/>
    </row>
    <row r="92" spans="1:19" ht="21" customHeight="1" x14ac:dyDescent="0.25">
      <c r="A92" s="388"/>
      <c r="B92" s="589" t="s">
        <v>76</v>
      </c>
      <c r="C92" s="2206" t="s">
        <v>769</v>
      </c>
      <c r="D92" s="2206"/>
      <c r="E92" s="2206" t="s">
        <v>248</v>
      </c>
      <c r="F92" s="2206"/>
      <c r="G92" s="2189"/>
      <c r="H92" s="2190"/>
      <c r="I92" s="2190"/>
      <c r="J92" s="2190"/>
      <c r="K92" s="2190"/>
      <c r="L92" s="2190"/>
      <c r="M92" s="2190"/>
      <c r="N92" s="2191"/>
      <c r="O92" s="388"/>
      <c r="P92" s="388"/>
      <c r="Q92" s="388"/>
      <c r="R92" s="388"/>
      <c r="S92" s="388"/>
    </row>
    <row r="93" spans="1:19" ht="21" customHeight="1" x14ac:dyDescent="0.25">
      <c r="A93" s="388"/>
      <c r="B93" s="591" t="s">
        <v>80</v>
      </c>
      <c r="C93" s="2207" t="s">
        <v>770</v>
      </c>
      <c r="D93" s="2207"/>
      <c r="E93" s="2207" t="s">
        <v>250</v>
      </c>
      <c r="F93" s="2207"/>
      <c r="G93" s="2192"/>
      <c r="H93" s="2193"/>
      <c r="I93" s="2193"/>
      <c r="J93" s="2193"/>
      <c r="K93" s="2193"/>
      <c r="L93" s="2193"/>
      <c r="M93" s="2193"/>
      <c r="N93" s="2194"/>
      <c r="O93" s="388"/>
      <c r="P93" s="388"/>
      <c r="Q93" s="388"/>
      <c r="R93" s="388"/>
      <c r="S93" s="388"/>
    </row>
    <row r="94" spans="1:19" ht="21" customHeight="1" x14ac:dyDescent="0.25">
      <c r="A94" s="388"/>
      <c r="B94" s="591" t="s">
        <v>131</v>
      </c>
      <c r="C94" s="2207" t="s">
        <v>103</v>
      </c>
      <c r="D94" s="2207"/>
      <c r="E94" s="2207" t="s">
        <v>119</v>
      </c>
      <c r="F94" s="2207"/>
      <c r="G94" s="2189"/>
      <c r="H94" s="2190"/>
      <c r="I94" s="2190"/>
      <c r="J94" s="2190"/>
      <c r="K94" s="2190"/>
      <c r="L94" s="2190"/>
      <c r="M94" s="2190"/>
      <c r="N94" s="2191"/>
      <c r="O94" s="388"/>
      <c r="P94" s="388"/>
      <c r="Q94" s="388"/>
      <c r="R94" s="388"/>
      <c r="S94" s="388"/>
    </row>
    <row r="95" spans="1:19" ht="21" customHeight="1" x14ac:dyDescent="0.25">
      <c r="A95" s="388"/>
      <c r="B95" s="587" t="s">
        <v>160</v>
      </c>
      <c r="C95" s="2208" t="s">
        <v>756</v>
      </c>
      <c r="D95" s="2208"/>
      <c r="E95" s="2208" t="s">
        <v>162</v>
      </c>
      <c r="F95" s="2209"/>
      <c r="G95" s="2193"/>
      <c r="H95" s="2193"/>
      <c r="I95" s="2193"/>
      <c r="J95" s="2193"/>
      <c r="K95" s="2193"/>
      <c r="L95" s="2193"/>
      <c r="M95" s="2193"/>
      <c r="N95" s="2194"/>
      <c r="O95" s="388"/>
      <c r="P95" s="388"/>
      <c r="Q95" s="388"/>
      <c r="R95" s="388"/>
      <c r="S95" s="388"/>
    </row>
    <row r="96" spans="1:19" ht="21" customHeight="1" x14ac:dyDescent="0.25">
      <c r="A96" s="388"/>
      <c r="B96" s="591" t="s">
        <v>767</v>
      </c>
      <c r="C96" s="2207" t="s">
        <v>771</v>
      </c>
      <c r="D96" s="2207"/>
      <c r="E96" s="2207" t="s">
        <v>688</v>
      </c>
      <c r="F96" s="2207"/>
      <c r="G96" s="2189"/>
      <c r="H96" s="2190"/>
      <c r="I96" s="2190"/>
      <c r="J96" s="2190"/>
      <c r="K96" s="2190"/>
      <c r="L96" s="2190"/>
      <c r="M96" s="2190"/>
      <c r="N96" s="2191"/>
      <c r="O96" s="388"/>
      <c r="P96" s="388"/>
      <c r="Q96" s="388"/>
      <c r="R96" s="388"/>
      <c r="S96" s="388"/>
    </row>
    <row r="97" spans="1:19" ht="21" customHeight="1" x14ac:dyDescent="0.25">
      <c r="A97" s="388"/>
      <c r="B97" s="592" t="s">
        <v>144</v>
      </c>
      <c r="C97" s="2210" t="s">
        <v>104</v>
      </c>
      <c r="D97" s="2210"/>
      <c r="E97" s="2210" t="s">
        <v>142</v>
      </c>
      <c r="F97" s="2210"/>
      <c r="G97" s="2192"/>
      <c r="H97" s="2193"/>
      <c r="I97" s="2193"/>
      <c r="J97" s="2193"/>
      <c r="K97" s="2193"/>
      <c r="L97" s="2193"/>
      <c r="M97" s="2193"/>
      <c r="N97" s="2194"/>
      <c r="O97" s="388"/>
      <c r="P97" s="388"/>
      <c r="Q97" s="388"/>
      <c r="R97" s="388"/>
      <c r="S97" s="388"/>
    </row>
    <row r="98" spans="1:19" ht="21" customHeight="1" x14ac:dyDescent="0.25">
      <c r="A98" s="388"/>
      <c r="B98" s="593" t="s">
        <v>145</v>
      </c>
      <c r="C98" s="2203" t="s">
        <v>92</v>
      </c>
      <c r="D98" s="2203"/>
      <c r="E98" s="2203" t="s">
        <v>141</v>
      </c>
      <c r="F98" s="2203"/>
      <c r="G98" s="2189"/>
      <c r="H98" s="2190"/>
      <c r="I98" s="2190"/>
      <c r="J98" s="2190"/>
      <c r="K98" s="2190"/>
      <c r="L98" s="2190"/>
      <c r="M98" s="2190"/>
      <c r="N98" s="2191"/>
      <c r="O98" s="388"/>
      <c r="P98" s="388"/>
      <c r="Q98" s="388"/>
      <c r="R98" s="388"/>
      <c r="S98" s="388"/>
    </row>
    <row r="99" spans="1:19" ht="21" customHeight="1" x14ac:dyDescent="0.25">
      <c r="A99" s="388"/>
      <c r="B99" s="593" t="s">
        <v>146</v>
      </c>
      <c r="C99" s="2203" t="s">
        <v>96</v>
      </c>
      <c r="D99" s="2203"/>
      <c r="E99" s="2203" t="s">
        <v>140</v>
      </c>
      <c r="F99" s="2203"/>
      <c r="G99" s="2192"/>
      <c r="H99" s="2193"/>
      <c r="I99" s="2193"/>
      <c r="J99" s="2193"/>
      <c r="K99" s="2193"/>
      <c r="L99" s="2193"/>
      <c r="M99" s="2193"/>
      <c r="N99" s="2194"/>
      <c r="O99" s="388"/>
      <c r="P99" s="388"/>
      <c r="Q99" s="388"/>
      <c r="R99" s="388"/>
      <c r="S99" s="388"/>
    </row>
    <row r="100" spans="1:19" ht="21" customHeight="1" x14ac:dyDescent="0.25">
      <c r="A100" s="388"/>
      <c r="B100" s="592" t="s">
        <v>768</v>
      </c>
      <c r="C100" s="2203" t="s">
        <v>393</v>
      </c>
      <c r="D100" s="2203"/>
      <c r="E100" s="2203" t="s">
        <v>393</v>
      </c>
      <c r="F100" s="2203"/>
      <c r="G100" s="2189"/>
      <c r="H100" s="2190"/>
      <c r="I100" s="2190"/>
      <c r="J100" s="2190"/>
      <c r="K100" s="2190"/>
      <c r="L100" s="2190"/>
      <c r="M100" s="2190"/>
      <c r="N100" s="2191"/>
      <c r="O100" s="388"/>
      <c r="P100" s="388"/>
      <c r="Q100" s="388"/>
      <c r="R100" s="388"/>
      <c r="S100" s="388"/>
    </row>
    <row r="101" spans="1:19" ht="21" customHeight="1" x14ac:dyDescent="0.25">
      <c r="A101" s="388"/>
      <c r="B101" s="604" t="s">
        <v>106</v>
      </c>
      <c r="C101" s="2205" t="s">
        <v>757</v>
      </c>
      <c r="D101" s="2205"/>
      <c r="E101" s="2205"/>
      <c r="F101" s="2205"/>
      <c r="G101" s="2192"/>
      <c r="H101" s="2193"/>
      <c r="I101" s="2193"/>
      <c r="J101" s="2193"/>
      <c r="K101" s="2193"/>
      <c r="L101" s="2193"/>
      <c r="M101" s="2193"/>
      <c r="N101" s="2194"/>
      <c r="O101" s="388"/>
      <c r="P101" s="388"/>
      <c r="Q101" s="388"/>
      <c r="R101" s="388"/>
      <c r="S101" s="388"/>
    </row>
    <row r="102" spans="1:19" ht="21" customHeight="1" x14ac:dyDescent="0.25">
      <c r="A102" s="388"/>
      <c r="B102" s="605" t="s">
        <v>108</v>
      </c>
      <c r="C102" s="2195" t="s">
        <v>758</v>
      </c>
      <c r="D102" s="2195"/>
      <c r="E102" s="2195"/>
      <c r="F102" s="2195"/>
      <c r="G102" s="2189"/>
      <c r="H102" s="2190"/>
      <c r="I102" s="2190"/>
      <c r="J102" s="2190"/>
      <c r="K102" s="2190"/>
      <c r="L102" s="2190"/>
      <c r="M102" s="2190"/>
      <c r="N102" s="2191"/>
      <c r="O102" s="388"/>
      <c r="P102" s="388"/>
      <c r="Q102" s="388"/>
      <c r="R102" s="388"/>
      <c r="S102" s="388"/>
    </row>
    <row r="103" spans="1:19" ht="15.75" x14ac:dyDescent="0.25">
      <c r="A103" s="388"/>
      <c r="B103" s="386"/>
      <c r="C103" s="388"/>
      <c r="D103" s="388"/>
      <c r="E103" s="388"/>
      <c r="F103" s="388"/>
      <c r="G103" s="388"/>
      <c r="H103" s="388"/>
      <c r="I103" s="388"/>
      <c r="J103" s="388"/>
      <c r="K103" s="388"/>
      <c r="L103" s="388"/>
      <c r="M103" s="388"/>
      <c r="N103" s="388"/>
      <c r="O103" s="388"/>
      <c r="P103" s="388"/>
      <c r="Q103" s="388"/>
      <c r="R103" s="388"/>
      <c r="S103" s="388"/>
    </row>
    <row r="104" spans="1:19" ht="15.75" x14ac:dyDescent="0.25">
      <c r="A104" s="388"/>
      <c r="B104" s="386"/>
      <c r="C104" s="388"/>
      <c r="D104" s="388"/>
      <c r="E104" s="388"/>
      <c r="F104" s="388"/>
      <c r="G104" s="388"/>
      <c r="H104" s="388"/>
      <c r="I104" s="388"/>
      <c r="J104" s="388"/>
      <c r="K104" s="388"/>
      <c r="L104" s="388"/>
      <c r="M104" s="388"/>
      <c r="N104" s="388"/>
      <c r="O104" s="388"/>
      <c r="P104" s="388"/>
      <c r="Q104" s="388"/>
      <c r="R104" s="388"/>
      <c r="S104" s="388"/>
    </row>
    <row r="105" spans="1:19" ht="15.75" hidden="1" x14ac:dyDescent="0.25">
      <c r="B105" s="386"/>
      <c r="C105" s="388"/>
      <c r="D105" s="388"/>
      <c r="E105" s="388"/>
      <c r="F105" s="388"/>
      <c r="G105" s="388"/>
      <c r="H105" s="388"/>
      <c r="I105" s="388"/>
      <c r="J105" s="388"/>
      <c r="K105" s="388"/>
      <c r="L105" s="388"/>
      <c r="M105" s="388"/>
      <c r="N105" s="388"/>
      <c r="O105" s="388"/>
      <c r="P105" s="388"/>
      <c r="Q105" s="388"/>
      <c r="R105" s="388"/>
      <c r="S105" s="388"/>
    </row>
    <row r="106" spans="1:19" ht="15.75" hidden="1" x14ac:dyDescent="0.25">
      <c r="B106" s="386"/>
      <c r="C106" s="388"/>
      <c r="D106" s="388"/>
      <c r="E106" s="388"/>
      <c r="F106" s="388"/>
      <c r="G106" s="388"/>
      <c r="H106" s="388"/>
      <c r="I106" s="388"/>
      <c r="J106" s="388"/>
      <c r="K106" s="388"/>
      <c r="L106" s="388"/>
      <c r="M106" s="388"/>
      <c r="N106" s="388"/>
      <c r="O106" s="388"/>
      <c r="P106" s="388"/>
      <c r="Q106" s="388"/>
      <c r="R106" s="388"/>
      <c r="S106" s="388"/>
    </row>
    <row r="107" spans="1:19" ht="15.75" hidden="1" x14ac:dyDescent="0.25">
      <c r="B107" s="386"/>
      <c r="C107" s="388"/>
      <c r="D107" s="388"/>
      <c r="E107" s="388"/>
      <c r="F107" s="388"/>
      <c r="G107" s="388"/>
      <c r="H107" s="388"/>
      <c r="I107" s="388"/>
      <c r="J107" s="388"/>
      <c r="K107" s="388"/>
      <c r="L107" s="388"/>
      <c r="M107" s="388"/>
      <c r="N107" s="388"/>
      <c r="O107" s="388"/>
      <c r="P107" s="388"/>
      <c r="Q107" s="388"/>
      <c r="R107" s="388"/>
      <c r="S107" s="388"/>
    </row>
    <row r="108" spans="1:19" ht="15.75" hidden="1" x14ac:dyDescent="0.25">
      <c r="B108" s="386"/>
      <c r="C108" s="388"/>
      <c r="D108" s="388"/>
      <c r="E108" s="388"/>
      <c r="F108" s="388"/>
      <c r="G108" s="388"/>
      <c r="H108" s="388"/>
      <c r="I108" s="388"/>
      <c r="J108" s="388"/>
      <c r="K108" s="388"/>
      <c r="L108" s="388"/>
      <c r="M108" s="388"/>
      <c r="N108" s="388"/>
      <c r="O108" s="388"/>
      <c r="P108" s="388"/>
      <c r="Q108" s="388"/>
      <c r="R108" s="388"/>
      <c r="S108" s="388"/>
    </row>
    <row r="109" spans="1:19" ht="15.75" hidden="1" x14ac:dyDescent="0.25">
      <c r="B109" s="386"/>
      <c r="C109" s="388"/>
      <c r="D109" s="388"/>
      <c r="E109" s="388"/>
      <c r="F109" s="388"/>
      <c r="G109" s="388"/>
      <c r="H109" s="388"/>
      <c r="I109" s="388"/>
      <c r="J109" s="388"/>
      <c r="K109" s="388"/>
      <c r="L109" s="388"/>
      <c r="M109" s="388"/>
      <c r="N109" s="388"/>
      <c r="O109" s="388"/>
      <c r="P109" s="388"/>
      <c r="Q109" s="388"/>
      <c r="R109" s="388"/>
      <c r="S109" s="388"/>
    </row>
    <row r="110" spans="1:19" ht="15.75" hidden="1" x14ac:dyDescent="0.25">
      <c r="B110" s="386"/>
      <c r="C110" s="388"/>
      <c r="D110" s="388"/>
      <c r="E110" s="388"/>
      <c r="F110" s="388"/>
      <c r="G110" s="388"/>
      <c r="H110" s="388"/>
      <c r="I110" s="388"/>
      <c r="J110" s="388"/>
      <c r="K110" s="388"/>
      <c r="L110" s="388"/>
      <c r="M110" s="388"/>
      <c r="N110" s="388"/>
      <c r="O110" s="388"/>
      <c r="P110" s="388"/>
      <c r="Q110" s="388"/>
      <c r="R110" s="388"/>
      <c r="S110" s="388"/>
    </row>
    <row r="111" spans="1:19" ht="15.75" hidden="1" x14ac:dyDescent="0.25">
      <c r="B111" s="386"/>
      <c r="C111" s="388"/>
      <c r="D111" s="388"/>
      <c r="E111" s="388"/>
      <c r="F111" s="388"/>
      <c r="G111" s="388"/>
      <c r="H111" s="388"/>
      <c r="I111" s="388"/>
      <c r="J111" s="388"/>
      <c r="K111" s="388"/>
      <c r="L111" s="388"/>
      <c r="M111" s="388"/>
      <c r="N111" s="388"/>
      <c r="O111" s="388"/>
      <c r="P111" s="388"/>
      <c r="Q111" s="388"/>
      <c r="R111" s="388"/>
      <c r="S111" s="388"/>
    </row>
    <row r="112" spans="1:19" ht="15.75" hidden="1" x14ac:dyDescent="0.25">
      <c r="B112" s="386"/>
      <c r="C112" s="388"/>
      <c r="D112" s="388"/>
      <c r="E112" s="388"/>
      <c r="F112" s="388"/>
      <c r="G112" s="388"/>
      <c r="H112" s="388"/>
      <c r="I112" s="388"/>
      <c r="J112" s="388"/>
      <c r="K112" s="388"/>
      <c r="L112" s="388"/>
      <c r="M112" s="388"/>
      <c r="N112" s="388"/>
      <c r="O112" s="388"/>
      <c r="P112" s="388"/>
      <c r="Q112" s="388"/>
      <c r="R112" s="388"/>
      <c r="S112" s="388"/>
    </row>
    <row r="113" spans="2:19" ht="15.75" hidden="1" x14ac:dyDescent="0.25">
      <c r="B113" s="386"/>
      <c r="C113" s="388"/>
      <c r="D113" s="388"/>
      <c r="E113" s="388"/>
      <c r="F113" s="388"/>
      <c r="G113" s="388"/>
      <c r="H113" s="388"/>
      <c r="I113" s="388"/>
      <c r="J113" s="388"/>
      <c r="K113" s="388"/>
      <c r="L113" s="388"/>
      <c r="M113" s="388"/>
      <c r="N113" s="388"/>
      <c r="O113" s="388"/>
      <c r="P113" s="388"/>
      <c r="Q113" s="388"/>
      <c r="R113" s="388"/>
      <c r="S113" s="388"/>
    </row>
    <row r="114" spans="2:19" ht="15.75" hidden="1" x14ac:dyDescent="0.25">
      <c r="B114" s="386"/>
      <c r="C114" s="388"/>
      <c r="D114" s="388"/>
      <c r="E114" s="388"/>
      <c r="F114" s="388"/>
      <c r="G114" s="388"/>
      <c r="H114" s="388"/>
      <c r="I114" s="388"/>
      <c r="J114" s="388"/>
      <c r="K114" s="388"/>
      <c r="L114" s="388"/>
      <c r="M114" s="388"/>
      <c r="N114" s="388"/>
      <c r="O114" s="388"/>
      <c r="P114" s="388"/>
      <c r="Q114" s="388"/>
      <c r="R114" s="388"/>
      <c r="S114" s="388"/>
    </row>
    <row r="115" spans="2:19" ht="15.75" hidden="1" x14ac:dyDescent="0.25">
      <c r="B115" s="386"/>
      <c r="C115" s="388"/>
      <c r="D115" s="388"/>
      <c r="E115" s="388"/>
      <c r="F115" s="388"/>
      <c r="G115" s="388"/>
      <c r="H115" s="388"/>
      <c r="I115" s="388"/>
      <c r="J115" s="388"/>
      <c r="K115" s="388"/>
      <c r="L115" s="388"/>
      <c r="M115" s="388"/>
      <c r="N115" s="388"/>
      <c r="O115" s="388"/>
      <c r="P115" s="388"/>
      <c r="Q115" s="388"/>
      <c r="R115" s="388"/>
      <c r="S115" s="388"/>
    </row>
    <row r="116" spans="2:19" ht="15.75" hidden="1" x14ac:dyDescent="0.25">
      <c r="B116" s="386"/>
      <c r="C116" s="388"/>
      <c r="D116" s="388"/>
      <c r="E116" s="388"/>
      <c r="F116" s="388"/>
      <c r="G116" s="388"/>
      <c r="H116" s="388"/>
      <c r="I116" s="388"/>
      <c r="J116" s="388"/>
      <c r="K116" s="388"/>
      <c r="L116" s="388"/>
      <c r="M116" s="388"/>
      <c r="N116" s="388"/>
      <c r="O116" s="388"/>
      <c r="P116" s="388"/>
      <c r="Q116" s="388"/>
      <c r="R116" s="388"/>
      <c r="S116" s="388"/>
    </row>
    <row r="117" spans="2:19" ht="15.75" hidden="1" x14ac:dyDescent="0.25">
      <c r="B117" s="386"/>
      <c r="C117" s="388"/>
      <c r="D117" s="388"/>
      <c r="E117" s="388"/>
      <c r="F117" s="388"/>
      <c r="G117" s="388"/>
      <c r="H117" s="388"/>
      <c r="I117" s="388"/>
      <c r="J117" s="388"/>
      <c r="K117" s="388"/>
      <c r="L117" s="388"/>
      <c r="M117" s="388"/>
      <c r="N117" s="388"/>
      <c r="O117" s="388"/>
      <c r="P117" s="388"/>
      <c r="Q117" s="388"/>
      <c r="R117" s="388"/>
      <c r="S117" s="388"/>
    </row>
    <row r="118" spans="2:19" ht="15.75" hidden="1" x14ac:dyDescent="0.25">
      <c r="B118" s="386"/>
      <c r="C118" s="388"/>
      <c r="D118" s="388"/>
      <c r="E118" s="388"/>
      <c r="F118" s="388"/>
      <c r="G118" s="388"/>
      <c r="H118" s="388"/>
      <c r="I118" s="388"/>
      <c r="J118" s="388"/>
      <c r="K118" s="388"/>
      <c r="L118" s="388"/>
      <c r="M118" s="388"/>
      <c r="N118" s="388"/>
      <c r="O118" s="388"/>
      <c r="P118" s="388"/>
      <c r="Q118" s="388"/>
      <c r="R118" s="388"/>
      <c r="S118" s="388"/>
    </row>
    <row r="119" spans="2:19" ht="15.75" hidden="1" x14ac:dyDescent="0.25">
      <c r="B119" s="386"/>
      <c r="C119" s="388"/>
      <c r="D119" s="388"/>
      <c r="E119" s="388"/>
      <c r="F119" s="388"/>
      <c r="G119" s="388"/>
      <c r="H119" s="388"/>
      <c r="I119" s="388"/>
      <c r="J119" s="388"/>
      <c r="K119" s="388"/>
      <c r="L119" s="388"/>
      <c r="M119" s="388"/>
      <c r="N119" s="388"/>
      <c r="O119" s="388"/>
      <c r="P119" s="388"/>
      <c r="Q119" s="388"/>
      <c r="R119" s="388"/>
      <c r="S119" s="388"/>
    </row>
    <row r="120" spans="2:19" ht="15.75" hidden="1" x14ac:dyDescent="0.25">
      <c r="B120" s="386"/>
      <c r="C120" s="388"/>
      <c r="D120" s="388"/>
      <c r="E120" s="388"/>
      <c r="F120" s="388"/>
      <c r="G120" s="388"/>
      <c r="H120" s="388"/>
      <c r="I120" s="388"/>
      <c r="J120" s="388"/>
      <c r="K120" s="388"/>
      <c r="L120" s="388"/>
      <c r="M120" s="388"/>
      <c r="N120" s="388"/>
      <c r="O120" s="388"/>
      <c r="P120" s="388"/>
      <c r="Q120" s="388"/>
      <c r="R120" s="388"/>
      <c r="S120" s="388"/>
    </row>
    <row r="121" spans="2:19" ht="15.75" hidden="1" x14ac:dyDescent="0.25">
      <c r="B121" s="386"/>
      <c r="C121" s="388"/>
      <c r="D121" s="388"/>
      <c r="E121" s="388"/>
      <c r="F121" s="388"/>
      <c r="G121" s="388"/>
      <c r="H121" s="388"/>
      <c r="I121" s="388"/>
      <c r="J121" s="388"/>
      <c r="K121" s="388"/>
      <c r="L121" s="388"/>
      <c r="M121" s="388"/>
      <c r="N121" s="388"/>
      <c r="O121" s="388"/>
      <c r="P121" s="388"/>
      <c r="Q121" s="388"/>
      <c r="R121" s="388"/>
      <c r="S121" s="388"/>
    </row>
    <row r="122" spans="2:19" ht="15.75" hidden="1" x14ac:dyDescent="0.25">
      <c r="B122" s="386"/>
      <c r="C122" s="388"/>
      <c r="D122" s="388"/>
      <c r="E122" s="388"/>
      <c r="F122" s="388"/>
      <c r="G122" s="388"/>
      <c r="H122" s="388"/>
      <c r="I122" s="388"/>
      <c r="J122" s="388"/>
      <c r="K122" s="388"/>
      <c r="L122" s="388"/>
      <c r="M122" s="388"/>
      <c r="N122" s="388"/>
      <c r="O122" s="388"/>
      <c r="P122" s="388"/>
      <c r="Q122" s="388"/>
      <c r="R122" s="388"/>
      <c r="S122" s="388"/>
    </row>
    <row r="123" spans="2:19" ht="15.75" hidden="1" x14ac:dyDescent="0.25">
      <c r="B123" s="386"/>
      <c r="C123" s="388"/>
      <c r="D123" s="388"/>
      <c r="E123" s="388"/>
      <c r="F123" s="388"/>
      <c r="G123" s="388"/>
      <c r="H123" s="388"/>
      <c r="I123" s="388"/>
      <c r="J123" s="388"/>
      <c r="K123" s="388"/>
      <c r="L123" s="388"/>
      <c r="M123" s="388"/>
      <c r="N123" s="388"/>
      <c r="O123" s="388"/>
      <c r="P123" s="388"/>
      <c r="Q123" s="388"/>
      <c r="R123" s="388"/>
      <c r="S123" s="388"/>
    </row>
    <row r="124" spans="2:19" ht="15.75" hidden="1" x14ac:dyDescent="0.25">
      <c r="B124" s="386"/>
      <c r="C124" s="388"/>
      <c r="D124" s="388"/>
      <c r="E124" s="388"/>
      <c r="F124" s="388"/>
      <c r="G124" s="388"/>
      <c r="H124" s="388"/>
      <c r="I124" s="388"/>
      <c r="J124" s="388"/>
      <c r="K124" s="388"/>
      <c r="L124" s="388"/>
      <c r="M124" s="388"/>
      <c r="N124" s="388"/>
      <c r="O124" s="388"/>
      <c r="P124" s="388"/>
      <c r="Q124" s="388"/>
      <c r="R124" s="388"/>
      <c r="S124" s="388"/>
    </row>
    <row r="125" spans="2:19" ht="15.75" hidden="1" x14ac:dyDescent="0.25">
      <c r="B125" s="386"/>
      <c r="C125" s="388"/>
      <c r="D125" s="388"/>
      <c r="E125" s="388"/>
      <c r="F125" s="388"/>
      <c r="G125" s="388"/>
      <c r="H125" s="388"/>
      <c r="I125" s="388"/>
      <c r="J125" s="388"/>
      <c r="K125" s="388"/>
      <c r="L125" s="388"/>
      <c r="M125" s="388"/>
      <c r="N125" s="388"/>
      <c r="O125" s="388"/>
      <c r="P125" s="388"/>
      <c r="Q125" s="388"/>
      <c r="R125" s="388"/>
      <c r="S125" s="388"/>
    </row>
    <row r="126" spans="2:19" ht="15.75" hidden="1" x14ac:dyDescent="0.25">
      <c r="B126" s="386"/>
      <c r="C126" s="388"/>
      <c r="D126" s="388"/>
      <c r="E126" s="388"/>
      <c r="F126" s="388"/>
      <c r="G126" s="388"/>
      <c r="H126" s="388"/>
      <c r="I126" s="388"/>
      <c r="J126" s="388"/>
      <c r="K126" s="388"/>
      <c r="L126" s="388"/>
      <c r="M126" s="388"/>
      <c r="N126" s="388"/>
      <c r="O126" s="388"/>
      <c r="P126" s="388"/>
      <c r="Q126" s="388"/>
      <c r="R126" s="388"/>
      <c r="S126" s="388"/>
    </row>
    <row r="127" spans="2:19" ht="15.75" hidden="1" x14ac:dyDescent="0.25">
      <c r="B127" s="386"/>
      <c r="C127" s="388"/>
      <c r="D127" s="388"/>
      <c r="E127" s="388"/>
      <c r="F127" s="388"/>
      <c r="G127" s="388"/>
      <c r="H127" s="388"/>
      <c r="I127" s="388"/>
      <c r="J127" s="388"/>
      <c r="K127" s="388"/>
      <c r="L127" s="388"/>
      <c r="M127" s="388"/>
      <c r="N127" s="388"/>
      <c r="O127" s="388"/>
      <c r="P127" s="388"/>
      <c r="Q127" s="388"/>
      <c r="R127" s="388"/>
      <c r="S127" s="388"/>
    </row>
    <row r="128" spans="2:19" ht="15.75" hidden="1" x14ac:dyDescent="0.25">
      <c r="B128" s="386"/>
      <c r="C128" s="388"/>
      <c r="D128" s="388"/>
      <c r="E128" s="388"/>
      <c r="F128" s="388"/>
      <c r="G128" s="388"/>
      <c r="H128" s="388"/>
      <c r="I128" s="388"/>
      <c r="J128" s="388"/>
      <c r="K128" s="388"/>
      <c r="L128" s="388"/>
      <c r="M128" s="388"/>
      <c r="N128" s="388"/>
      <c r="O128" s="388"/>
      <c r="P128" s="388"/>
      <c r="Q128" s="388"/>
      <c r="R128" s="388"/>
      <c r="S128" s="388"/>
    </row>
    <row r="129" spans="2:19" ht="15.75" hidden="1" x14ac:dyDescent="0.25">
      <c r="B129" s="386"/>
      <c r="C129" s="388"/>
      <c r="D129" s="388"/>
      <c r="E129" s="388"/>
      <c r="F129" s="388"/>
      <c r="G129" s="388"/>
      <c r="H129" s="388"/>
      <c r="I129" s="388"/>
      <c r="J129" s="388"/>
      <c r="K129" s="388"/>
      <c r="L129" s="388"/>
      <c r="M129" s="388"/>
      <c r="N129" s="388"/>
      <c r="O129" s="388"/>
      <c r="P129" s="388"/>
      <c r="Q129" s="388"/>
      <c r="R129" s="388"/>
      <c r="S129" s="388"/>
    </row>
    <row r="130" spans="2:19" ht="15.75" hidden="1" x14ac:dyDescent="0.25">
      <c r="B130" s="386"/>
      <c r="C130" s="388"/>
      <c r="D130" s="388"/>
      <c r="E130" s="388"/>
      <c r="F130" s="388"/>
      <c r="G130" s="388"/>
      <c r="H130" s="388"/>
      <c r="I130" s="388"/>
      <c r="J130" s="388"/>
      <c r="K130" s="388"/>
      <c r="L130" s="388"/>
      <c r="M130" s="388"/>
      <c r="N130" s="388"/>
      <c r="O130" s="388"/>
      <c r="P130" s="388"/>
      <c r="Q130" s="388"/>
      <c r="R130" s="388"/>
      <c r="S130" s="388"/>
    </row>
    <row r="131" spans="2:19" ht="15.75" hidden="1" x14ac:dyDescent="0.25">
      <c r="B131" s="386"/>
      <c r="C131" s="388"/>
      <c r="D131" s="388"/>
      <c r="E131" s="388"/>
      <c r="F131" s="388"/>
      <c r="G131" s="388"/>
      <c r="H131" s="388"/>
      <c r="I131" s="388"/>
      <c r="J131" s="388"/>
      <c r="K131" s="388"/>
      <c r="L131" s="388"/>
      <c r="M131" s="388"/>
      <c r="N131" s="388"/>
      <c r="O131" s="388"/>
      <c r="P131" s="388"/>
      <c r="Q131" s="388"/>
      <c r="R131" s="388"/>
      <c r="S131" s="388"/>
    </row>
    <row r="132" spans="2:19" ht="15.75" hidden="1" x14ac:dyDescent="0.25">
      <c r="B132" s="386"/>
      <c r="C132" s="388"/>
      <c r="D132" s="388"/>
      <c r="E132" s="388"/>
      <c r="F132" s="388"/>
      <c r="G132" s="388"/>
      <c r="H132" s="388"/>
      <c r="I132" s="388"/>
      <c r="J132" s="388"/>
      <c r="K132" s="388"/>
      <c r="L132" s="388"/>
      <c r="M132" s="388"/>
      <c r="N132" s="388"/>
      <c r="O132" s="388"/>
      <c r="P132" s="388"/>
      <c r="Q132" s="388"/>
      <c r="R132" s="388"/>
      <c r="S132" s="388"/>
    </row>
    <row r="133" spans="2:19" ht="15.75" hidden="1" x14ac:dyDescent="0.25">
      <c r="B133" s="386"/>
      <c r="C133" s="388"/>
      <c r="D133" s="388"/>
      <c r="E133" s="388"/>
      <c r="F133" s="388"/>
      <c r="G133" s="388"/>
      <c r="H133" s="388"/>
      <c r="I133" s="388"/>
      <c r="J133" s="388"/>
      <c r="K133" s="388"/>
      <c r="L133" s="388"/>
      <c r="M133" s="388"/>
      <c r="N133" s="388"/>
      <c r="O133" s="388"/>
      <c r="P133" s="388"/>
      <c r="Q133" s="388"/>
      <c r="R133" s="388"/>
      <c r="S133" s="388"/>
    </row>
    <row r="134" spans="2:19" ht="15.75" hidden="1" x14ac:dyDescent="0.25">
      <c r="B134" s="386"/>
      <c r="C134" s="388"/>
      <c r="D134" s="388"/>
      <c r="E134" s="388"/>
      <c r="F134" s="388"/>
      <c r="G134" s="388"/>
      <c r="H134" s="388"/>
      <c r="I134" s="388"/>
      <c r="J134" s="388"/>
      <c r="K134" s="388"/>
      <c r="L134" s="388"/>
      <c r="M134" s="388"/>
      <c r="N134" s="388"/>
      <c r="O134" s="388"/>
      <c r="P134" s="388"/>
      <c r="Q134" s="388"/>
      <c r="R134" s="388"/>
      <c r="S134" s="388"/>
    </row>
    <row r="135" spans="2:19" ht="15.75" hidden="1" x14ac:dyDescent="0.25">
      <c r="B135" s="386"/>
      <c r="C135" s="388"/>
      <c r="D135" s="388"/>
      <c r="E135" s="388"/>
      <c r="F135" s="388"/>
      <c r="G135" s="388"/>
      <c r="H135" s="388"/>
      <c r="I135" s="388"/>
      <c r="J135" s="388"/>
      <c r="K135" s="388"/>
      <c r="L135" s="388"/>
      <c r="M135" s="388"/>
      <c r="N135" s="388"/>
      <c r="O135" s="388"/>
      <c r="P135" s="388"/>
      <c r="Q135" s="388"/>
      <c r="R135" s="388"/>
      <c r="S135" s="388"/>
    </row>
    <row r="136" spans="2:19" ht="15.75" hidden="1" x14ac:dyDescent="0.25">
      <c r="B136" s="386"/>
      <c r="C136" s="388"/>
      <c r="D136" s="388"/>
      <c r="E136" s="388"/>
      <c r="F136" s="388"/>
      <c r="G136" s="388"/>
      <c r="H136" s="388"/>
      <c r="I136" s="388"/>
      <c r="J136" s="388"/>
      <c r="K136" s="388"/>
      <c r="L136" s="388"/>
      <c r="M136" s="388"/>
      <c r="N136" s="388"/>
      <c r="O136" s="388"/>
      <c r="P136" s="388"/>
      <c r="Q136" s="388"/>
      <c r="R136" s="388"/>
      <c r="S136" s="388"/>
    </row>
    <row r="137" spans="2:19" ht="15.75" hidden="1" x14ac:dyDescent="0.25">
      <c r="B137" s="386"/>
      <c r="C137" s="388"/>
      <c r="D137" s="388"/>
      <c r="E137" s="388"/>
      <c r="F137" s="388"/>
      <c r="G137" s="388"/>
      <c r="H137" s="388"/>
      <c r="I137" s="388"/>
      <c r="J137" s="388"/>
      <c r="K137" s="388"/>
      <c r="L137" s="388"/>
      <c r="M137" s="388"/>
      <c r="N137" s="388"/>
      <c r="O137" s="388"/>
      <c r="P137" s="388"/>
      <c r="Q137" s="388"/>
      <c r="R137" s="388"/>
      <c r="S137" s="388"/>
    </row>
    <row r="138" spans="2:19" ht="15.75" hidden="1" x14ac:dyDescent="0.25">
      <c r="B138" s="386"/>
      <c r="C138" s="388"/>
      <c r="D138" s="388"/>
      <c r="E138" s="388"/>
      <c r="F138" s="388"/>
      <c r="G138" s="388"/>
      <c r="H138" s="388"/>
      <c r="I138" s="388"/>
      <c r="J138" s="388"/>
      <c r="K138" s="388"/>
      <c r="L138" s="388"/>
      <c r="M138" s="388"/>
      <c r="N138" s="388"/>
      <c r="O138" s="388"/>
      <c r="P138" s="388"/>
      <c r="Q138" s="388"/>
      <c r="R138" s="388"/>
      <c r="S138" s="388"/>
    </row>
    <row r="139" spans="2:19" ht="15.75" hidden="1" x14ac:dyDescent="0.25">
      <c r="B139" s="386"/>
      <c r="C139" s="388"/>
      <c r="D139" s="388"/>
      <c r="E139" s="388"/>
      <c r="F139" s="388"/>
      <c r="G139" s="388"/>
      <c r="H139" s="388"/>
      <c r="I139" s="388"/>
      <c r="J139" s="388"/>
      <c r="K139" s="388"/>
      <c r="L139" s="388"/>
      <c r="M139" s="388"/>
      <c r="N139" s="388"/>
      <c r="O139" s="388"/>
      <c r="P139" s="388"/>
      <c r="Q139" s="388"/>
      <c r="R139" s="388"/>
      <c r="S139" s="388"/>
    </row>
    <row r="140" spans="2:19" ht="15.75" hidden="1" x14ac:dyDescent="0.25">
      <c r="B140" s="386"/>
      <c r="C140" s="388"/>
      <c r="D140" s="388"/>
      <c r="E140" s="388"/>
      <c r="F140" s="388"/>
      <c r="G140" s="388"/>
      <c r="H140" s="388"/>
      <c r="I140" s="388"/>
      <c r="J140" s="388"/>
      <c r="K140" s="388"/>
      <c r="L140" s="388"/>
      <c r="M140" s="388"/>
      <c r="N140" s="388"/>
      <c r="O140" s="388"/>
      <c r="P140" s="388"/>
      <c r="Q140" s="388"/>
      <c r="R140" s="388"/>
      <c r="S140" s="388"/>
    </row>
    <row r="141" spans="2:19" ht="15.75" hidden="1" x14ac:dyDescent="0.25">
      <c r="B141" s="386"/>
      <c r="C141" s="388"/>
      <c r="D141" s="388"/>
      <c r="E141" s="388"/>
      <c r="F141" s="388"/>
      <c r="G141" s="388"/>
      <c r="H141" s="388"/>
      <c r="I141" s="388"/>
      <c r="J141" s="388"/>
      <c r="K141" s="388"/>
      <c r="L141" s="388"/>
      <c r="M141" s="388"/>
      <c r="N141" s="388"/>
      <c r="O141" s="388"/>
      <c r="P141" s="388"/>
      <c r="Q141" s="388"/>
      <c r="R141" s="388"/>
      <c r="S141" s="388"/>
    </row>
    <row r="142" spans="2:19" ht="15.75" hidden="1" x14ac:dyDescent="0.25">
      <c r="B142" s="386"/>
      <c r="C142" s="388"/>
      <c r="D142" s="388"/>
      <c r="E142" s="388"/>
      <c r="F142" s="388"/>
      <c r="G142" s="388"/>
      <c r="H142" s="388"/>
      <c r="I142" s="388"/>
      <c r="J142" s="388"/>
      <c r="K142" s="388"/>
      <c r="L142" s="388"/>
      <c r="M142" s="388"/>
      <c r="N142" s="388"/>
      <c r="O142" s="388"/>
      <c r="P142" s="388"/>
      <c r="Q142" s="388"/>
      <c r="R142" s="388"/>
      <c r="S142" s="388"/>
    </row>
    <row r="143" spans="2:19" ht="15.75" hidden="1" x14ac:dyDescent="0.25">
      <c r="B143" s="386"/>
      <c r="C143" s="388"/>
      <c r="D143" s="388"/>
      <c r="E143" s="388"/>
      <c r="F143" s="388"/>
      <c r="G143" s="388"/>
      <c r="H143" s="388"/>
      <c r="I143" s="388"/>
      <c r="J143" s="388"/>
      <c r="K143" s="388"/>
      <c r="L143" s="388"/>
      <c r="M143" s="388"/>
      <c r="N143" s="388"/>
      <c r="O143" s="388"/>
      <c r="P143" s="388"/>
      <c r="Q143" s="388"/>
      <c r="R143" s="388"/>
      <c r="S143" s="388"/>
    </row>
    <row r="144" spans="2:19" ht="15.75" hidden="1" x14ac:dyDescent="0.25">
      <c r="B144" s="386"/>
      <c r="C144" s="388"/>
      <c r="D144" s="388"/>
      <c r="E144" s="388"/>
      <c r="F144" s="388"/>
      <c r="G144" s="388"/>
      <c r="H144" s="388"/>
      <c r="I144" s="388"/>
      <c r="J144" s="388"/>
      <c r="K144" s="388"/>
      <c r="L144" s="388"/>
      <c r="M144" s="388"/>
      <c r="N144" s="388"/>
      <c r="O144" s="388"/>
      <c r="P144" s="388"/>
      <c r="Q144" s="388"/>
      <c r="R144" s="388"/>
      <c r="S144" s="388"/>
    </row>
    <row r="145" spans="2:19" ht="15.75" hidden="1" x14ac:dyDescent="0.25">
      <c r="B145" s="386"/>
      <c r="C145" s="388"/>
      <c r="D145" s="388"/>
      <c r="E145" s="388"/>
      <c r="F145" s="388"/>
      <c r="G145" s="388"/>
      <c r="H145" s="388"/>
      <c r="I145" s="388"/>
      <c r="J145" s="388"/>
      <c r="K145" s="388"/>
      <c r="L145" s="388"/>
      <c r="M145" s="388"/>
      <c r="N145" s="388"/>
      <c r="O145" s="388"/>
      <c r="P145" s="388"/>
      <c r="Q145" s="388"/>
      <c r="R145" s="388"/>
      <c r="S145" s="388"/>
    </row>
    <row r="146" spans="2:19" ht="15.75" hidden="1" x14ac:dyDescent="0.25">
      <c r="B146" s="386"/>
      <c r="C146" s="388"/>
      <c r="D146" s="388"/>
      <c r="E146" s="388"/>
      <c r="F146" s="388"/>
      <c r="G146" s="388"/>
      <c r="H146" s="388"/>
      <c r="I146" s="388"/>
      <c r="J146" s="388"/>
      <c r="K146" s="388"/>
      <c r="L146" s="388"/>
      <c r="M146" s="388"/>
      <c r="N146" s="388"/>
      <c r="O146" s="388"/>
      <c r="P146" s="388"/>
      <c r="Q146" s="388"/>
      <c r="R146" s="388"/>
      <c r="S146" s="388"/>
    </row>
    <row r="147" spans="2:19" ht="15.75" hidden="1" x14ac:dyDescent="0.25">
      <c r="B147" s="386"/>
      <c r="C147" s="388"/>
      <c r="D147" s="388"/>
      <c r="E147" s="388"/>
      <c r="F147" s="388"/>
      <c r="G147" s="388"/>
      <c r="H147" s="388"/>
      <c r="I147" s="388"/>
      <c r="J147" s="388"/>
      <c r="K147" s="388"/>
      <c r="L147" s="388"/>
      <c r="M147" s="388"/>
      <c r="N147" s="388"/>
      <c r="O147" s="388"/>
      <c r="P147" s="388"/>
      <c r="Q147" s="388"/>
      <c r="R147" s="388"/>
      <c r="S147" s="388"/>
    </row>
    <row r="148" spans="2:19" ht="15.75" hidden="1" x14ac:dyDescent="0.25">
      <c r="B148" s="386"/>
      <c r="C148" s="388"/>
      <c r="D148" s="388"/>
      <c r="E148" s="388"/>
      <c r="F148" s="388"/>
      <c r="G148" s="388"/>
      <c r="H148" s="388"/>
      <c r="I148" s="388"/>
      <c r="J148" s="388"/>
      <c r="K148" s="388"/>
      <c r="L148" s="388"/>
      <c r="M148" s="388"/>
      <c r="N148" s="388"/>
      <c r="O148" s="388"/>
      <c r="P148" s="388"/>
      <c r="Q148" s="388"/>
      <c r="R148" s="388"/>
      <c r="S148" s="388"/>
    </row>
    <row r="149" spans="2:19" ht="15.75" hidden="1" x14ac:dyDescent="0.25">
      <c r="B149" s="386"/>
      <c r="C149" s="388"/>
      <c r="D149" s="388"/>
      <c r="E149" s="388"/>
      <c r="F149" s="388"/>
      <c r="G149" s="388"/>
      <c r="H149" s="388"/>
      <c r="I149" s="388"/>
      <c r="J149" s="388"/>
      <c r="K149" s="388"/>
      <c r="L149" s="388"/>
      <c r="M149" s="388"/>
      <c r="N149" s="388"/>
      <c r="O149" s="388"/>
      <c r="P149" s="388"/>
      <c r="Q149" s="388"/>
      <c r="R149" s="388"/>
      <c r="S149" s="388"/>
    </row>
    <row r="150" spans="2:19" ht="15.75" hidden="1" x14ac:dyDescent="0.25">
      <c r="B150" s="386"/>
      <c r="C150" s="388"/>
      <c r="D150" s="388"/>
      <c r="E150" s="388"/>
      <c r="F150" s="388"/>
      <c r="G150" s="388"/>
      <c r="H150" s="388"/>
      <c r="I150" s="388"/>
      <c r="J150" s="388"/>
      <c r="K150" s="388"/>
      <c r="L150" s="388"/>
      <c r="M150" s="388"/>
      <c r="N150" s="388"/>
      <c r="O150" s="388"/>
      <c r="P150" s="388"/>
      <c r="Q150" s="388"/>
      <c r="R150" s="388"/>
      <c r="S150" s="388"/>
    </row>
    <row r="151" spans="2:19" ht="15.75" hidden="1" x14ac:dyDescent="0.25">
      <c r="B151" s="386"/>
      <c r="C151" s="388"/>
      <c r="D151" s="388"/>
      <c r="E151" s="388"/>
      <c r="F151" s="388"/>
      <c r="G151" s="388"/>
      <c r="H151" s="388"/>
      <c r="I151" s="388"/>
      <c r="J151" s="388"/>
      <c r="K151" s="388"/>
      <c r="L151" s="388"/>
      <c r="M151" s="388"/>
      <c r="N151" s="388"/>
      <c r="O151" s="388"/>
      <c r="P151" s="388"/>
      <c r="Q151" s="388"/>
      <c r="R151" s="388"/>
      <c r="S151" s="388"/>
    </row>
    <row r="152" spans="2:19" ht="15.75" hidden="1" x14ac:dyDescent="0.25">
      <c r="B152" s="386"/>
      <c r="C152" s="388"/>
      <c r="D152" s="388"/>
      <c r="E152" s="388"/>
      <c r="F152" s="388"/>
      <c r="G152" s="388"/>
      <c r="H152" s="388"/>
      <c r="I152" s="388"/>
      <c r="J152" s="388"/>
      <c r="K152" s="388"/>
      <c r="L152" s="388"/>
      <c r="M152" s="388"/>
      <c r="N152" s="388"/>
      <c r="O152" s="388"/>
      <c r="P152" s="388"/>
      <c r="Q152" s="388"/>
      <c r="R152" s="388"/>
      <c r="S152" s="388"/>
    </row>
    <row r="153" spans="2:19" ht="15.75" hidden="1" x14ac:dyDescent="0.25">
      <c r="B153" s="386"/>
      <c r="C153" s="388"/>
      <c r="D153" s="388"/>
      <c r="E153" s="388"/>
      <c r="F153" s="388"/>
      <c r="G153" s="388"/>
      <c r="H153" s="388"/>
      <c r="I153" s="388"/>
      <c r="J153" s="388"/>
      <c r="K153" s="388"/>
      <c r="L153" s="388"/>
      <c r="M153" s="388"/>
      <c r="N153" s="388"/>
      <c r="O153" s="388"/>
      <c r="P153" s="388"/>
      <c r="Q153" s="388"/>
      <c r="R153" s="388"/>
      <c r="S153" s="388"/>
    </row>
    <row r="154" spans="2:19" ht="15.75" hidden="1" x14ac:dyDescent="0.25">
      <c r="B154" s="386"/>
      <c r="C154" s="388"/>
      <c r="D154" s="388"/>
      <c r="E154" s="388"/>
      <c r="F154" s="388"/>
      <c r="G154" s="388"/>
      <c r="H154" s="388"/>
      <c r="I154" s="388"/>
      <c r="J154" s="388"/>
      <c r="K154" s="388"/>
      <c r="L154" s="388"/>
      <c r="M154" s="388"/>
      <c r="N154" s="388"/>
      <c r="O154" s="388"/>
      <c r="P154" s="388"/>
      <c r="Q154" s="388"/>
      <c r="R154" s="388"/>
      <c r="S154" s="388"/>
    </row>
    <row r="155" spans="2:19" ht="15.75" hidden="1" x14ac:dyDescent="0.25">
      <c r="B155" s="386"/>
      <c r="C155" s="388"/>
      <c r="D155" s="388"/>
      <c r="E155" s="388"/>
      <c r="F155" s="388"/>
      <c r="G155" s="388"/>
      <c r="H155" s="388"/>
      <c r="I155" s="388"/>
      <c r="J155" s="388"/>
      <c r="K155" s="388"/>
      <c r="L155" s="388"/>
      <c r="M155" s="388"/>
      <c r="N155" s="388"/>
      <c r="O155" s="388"/>
      <c r="P155" s="388"/>
      <c r="Q155" s="388"/>
      <c r="R155" s="388"/>
      <c r="S155" s="388"/>
    </row>
    <row r="156" spans="2:19" ht="15.75" hidden="1" x14ac:dyDescent="0.25">
      <c r="B156" s="386"/>
      <c r="C156" s="388"/>
      <c r="D156" s="388"/>
      <c r="E156" s="388"/>
      <c r="F156" s="388"/>
      <c r="G156" s="388"/>
      <c r="H156" s="388"/>
      <c r="I156" s="388"/>
      <c r="J156" s="388"/>
      <c r="K156" s="388"/>
      <c r="L156" s="388"/>
      <c r="M156" s="388"/>
      <c r="N156" s="388"/>
      <c r="O156" s="388"/>
      <c r="P156" s="388"/>
      <c r="Q156" s="388"/>
      <c r="R156" s="388"/>
      <c r="S156" s="388"/>
    </row>
    <row r="157" spans="2:19" ht="15.75" hidden="1" x14ac:dyDescent="0.25">
      <c r="B157" s="386"/>
      <c r="C157" s="388"/>
      <c r="D157" s="388"/>
      <c r="E157" s="388"/>
      <c r="F157" s="388"/>
      <c r="G157" s="388"/>
      <c r="H157" s="388"/>
      <c r="I157" s="388"/>
      <c r="J157" s="388"/>
      <c r="K157" s="388"/>
      <c r="L157" s="388"/>
      <c r="M157" s="388"/>
      <c r="N157" s="388"/>
      <c r="O157" s="388"/>
      <c r="P157" s="388"/>
      <c r="Q157" s="388"/>
      <c r="R157" s="388"/>
      <c r="S157" s="388"/>
    </row>
    <row r="158" spans="2:19" ht="15.75" hidden="1" x14ac:dyDescent="0.25">
      <c r="B158" s="386"/>
      <c r="C158" s="388"/>
      <c r="D158" s="388"/>
      <c r="E158" s="388"/>
      <c r="F158" s="388"/>
      <c r="G158" s="388"/>
      <c r="H158" s="388"/>
      <c r="I158" s="388"/>
      <c r="J158" s="388"/>
      <c r="K158" s="388"/>
      <c r="L158" s="388"/>
      <c r="M158" s="388"/>
      <c r="N158" s="388"/>
      <c r="O158" s="388"/>
      <c r="P158" s="388"/>
      <c r="Q158" s="388"/>
      <c r="R158" s="388"/>
      <c r="S158" s="388"/>
    </row>
    <row r="159" spans="2:19" ht="15.75" hidden="1" x14ac:dyDescent="0.25">
      <c r="B159" s="386"/>
      <c r="C159" s="388"/>
      <c r="D159" s="388"/>
      <c r="E159" s="388"/>
      <c r="F159" s="388"/>
      <c r="G159" s="388"/>
      <c r="H159" s="388"/>
      <c r="I159" s="388"/>
      <c r="J159" s="388"/>
      <c r="K159" s="388"/>
      <c r="L159" s="388"/>
      <c r="M159" s="388"/>
      <c r="N159" s="388"/>
      <c r="O159" s="388"/>
      <c r="P159" s="388"/>
      <c r="Q159" s="388"/>
      <c r="R159" s="388"/>
      <c r="S159" s="388"/>
    </row>
    <row r="160" spans="2:19" ht="15.75" hidden="1" x14ac:dyDescent="0.25">
      <c r="B160" s="386"/>
      <c r="C160" s="388"/>
      <c r="D160" s="388"/>
      <c r="E160" s="388"/>
      <c r="F160" s="388"/>
      <c r="G160" s="388"/>
      <c r="H160" s="388"/>
      <c r="I160" s="388"/>
      <c r="J160" s="388"/>
      <c r="K160" s="388"/>
      <c r="L160" s="388"/>
      <c r="M160" s="388"/>
      <c r="N160" s="388"/>
      <c r="O160" s="388"/>
      <c r="P160" s="388"/>
      <c r="Q160" s="388"/>
      <c r="R160" s="388"/>
      <c r="S160" s="388"/>
    </row>
    <row r="161" spans="2:19" ht="15.75" hidden="1" x14ac:dyDescent="0.25">
      <c r="B161" s="386"/>
      <c r="C161" s="388"/>
      <c r="D161" s="388"/>
      <c r="E161" s="388"/>
      <c r="F161" s="388"/>
      <c r="G161" s="388"/>
      <c r="H161" s="388"/>
      <c r="I161" s="388"/>
      <c r="J161" s="388"/>
      <c r="K161" s="388"/>
      <c r="L161" s="388"/>
      <c r="M161" s="388"/>
      <c r="N161" s="388"/>
      <c r="O161" s="388"/>
      <c r="P161" s="388"/>
      <c r="Q161" s="388"/>
      <c r="R161" s="388"/>
      <c r="S161" s="388"/>
    </row>
    <row r="162" spans="2:19" ht="15.75" hidden="1" x14ac:dyDescent="0.25">
      <c r="B162" s="386"/>
      <c r="C162" s="388"/>
      <c r="D162" s="388"/>
      <c r="E162" s="388"/>
      <c r="F162" s="388"/>
      <c r="G162" s="388"/>
      <c r="H162" s="388"/>
      <c r="I162" s="388"/>
      <c r="J162" s="388"/>
      <c r="K162" s="388"/>
      <c r="L162" s="388"/>
      <c r="M162" s="388"/>
      <c r="N162" s="388"/>
      <c r="O162" s="388"/>
      <c r="P162" s="388"/>
      <c r="Q162" s="388"/>
      <c r="R162" s="388"/>
      <c r="S162" s="388"/>
    </row>
    <row r="163" spans="2:19" ht="15.75" hidden="1" x14ac:dyDescent="0.25">
      <c r="B163" s="386"/>
      <c r="C163" s="388"/>
      <c r="D163" s="388"/>
      <c r="E163" s="388"/>
      <c r="F163" s="388"/>
      <c r="G163" s="388"/>
      <c r="H163" s="388"/>
      <c r="I163" s="388"/>
      <c r="J163" s="388"/>
      <c r="K163" s="388"/>
      <c r="L163" s="388"/>
      <c r="M163" s="388"/>
      <c r="N163" s="388"/>
      <c r="O163" s="388"/>
      <c r="P163" s="388"/>
      <c r="Q163" s="388"/>
      <c r="R163" s="388"/>
      <c r="S163" s="388"/>
    </row>
    <row r="164" spans="2:19" ht="15.75" hidden="1" x14ac:dyDescent="0.25">
      <c r="B164" s="386"/>
      <c r="C164" s="388"/>
      <c r="D164" s="388"/>
      <c r="E164" s="388"/>
      <c r="F164" s="388"/>
      <c r="G164" s="388"/>
      <c r="H164" s="388"/>
      <c r="I164" s="388"/>
      <c r="J164" s="388"/>
      <c r="K164" s="388"/>
      <c r="L164" s="388"/>
      <c r="M164" s="388"/>
      <c r="N164" s="388"/>
      <c r="O164" s="388"/>
      <c r="P164" s="388"/>
      <c r="Q164" s="388"/>
      <c r="R164" s="388"/>
      <c r="S164" s="388"/>
    </row>
    <row r="165" spans="2:19" ht="15.75" hidden="1" x14ac:dyDescent="0.25">
      <c r="B165" s="386"/>
      <c r="C165" s="388"/>
      <c r="D165" s="388"/>
      <c r="E165" s="388"/>
      <c r="F165" s="388"/>
      <c r="G165" s="388"/>
      <c r="H165" s="388"/>
      <c r="I165" s="388"/>
      <c r="J165" s="388"/>
      <c r="K165" s="388"/>
      <c r="L165" s="388"/>
      <c r="M165" s="388"/>
      <c r="N165" s="388"/>
      <c r="O165" s="388"/>
      <c r="P165" s="388"/>
      <c r="Q165" s="388"/>
      <c r="R165" s="388"/>
      <c r="S165" s="388"/>
    </row>
    <row r="166" spans="2:19" ht="15.75" hidden="1" x14ac:dyDescent="0.25">
      <c r="B166" s="386"/>
      <c r="C166" s="388"/>
      <c r="D166" s="388"/>
      <c r="E166" s="388"/>
      <c r="F166" s="388"/>
      <c r="G166" s="388"/>
      <c r="H166" s="388"/>
      <c r="I166" s="388"/>
      <c r="J166" s="388"/>
      <c r="K166" s="388"/>
      <c r="L166" s="388"/>
      <c r="M166" s="388"/>
      <c r="N166" s="388"/>
      <c r="O166" s="388"/>
      <c r="P166" s="388"/>
      <c r="Q166" s="388"/>
      <c r="R166" s="388"/>
      <c r="S166" s="388"/>
    </row>
    <row r="167" spans="2:19" ht="15.75" hidden="1" x14ac:dyDescent="0.25">
      <c r="B167" s="386"/>
      <c r="C167" s="388"/>
      <c r="D167" s="388"/>
      <c r="E167" s="388"/>
      <c r="F167" s="388"/>
      <c r="G167" s="388"/>
      <c r="H167" s="388"/>
      <c r="I167" s="388"/>
      <c r="J167" s="388"/>
      <c r="K167" s="388"/>
      <c r="L167" s="388"/>
      <c r="M167" s="388"/>
      <c r="N167" s="388"/>
      <c r="O167" s="388"/>
      <c r="P167" s="388"/>
      <c r="Q167" s="388"/>
      <c r="R167" s="388"/>
      <c r="S167" s="388"/>
    </row>
    <row r="168" spans="2:19" ht="15.75" hidden="1" x14ac:dyDescent="0.25">
      <c r="B168" s="386"/>
      <c r="C168" s="388"/>
      <c r="D168" s="388"/>
      <c r="E168" s="388"/>
      <c r="F168" s="388"/>
      <c r="G168" s="388"/>
      <c r="H168" s="388"/>
      <c r="I168" s="388"/>
      <c r="J168" s="388"/>
      <c r="K168" s="388"/>
      <c r="L168" s="388"/>
      <c r="M168" s="388"/>
      <c r="N168" s="388"/>
      <c r="O168" s="388"/>
      <c r="P168" s="388"/>
      <c r="Q168" s="388"/>
      <c r="R168" s="388"/>
      <c r="S168" s="388"/>
    </row>
    <row r="169" spans="2:19" ht="15.75" hidden="1" x14ac:dyDescent="0.25">
      <c r="B169" s="386"/>
      <c r="C169" s="388"/>
      <c r="D169" s="388"/>
      <c r="E169" s="388"/>
      <c r="F169" s="388"/>
      <c r="G169" s="388"/>
      <c r="H169" s="388"/>
      <c r="I169" s="388"/>
      <c r="J169" s="388"/>
      <c r="K169" s="388"/>
      <c r="L169" s="388"/>
      <c r="M169" s="388"/>
      <c r="N169" s="388"/>
      <c r="O169" s="388"/>
      <c r="P169" s="388"/>
      <c r="Q169" s="388"/>
      <c r="R169" s="388"/>
      <c r="S169" s="388"/>
    </row>
    <row r="170" spans="2:19" ht="15.75" hidden="1" x14ac:dyDescent="0.25">
      <c r="B170" s="386"/>
      <c r="C170" s="388"/>
      <c r="D170" s="388"/>
      <c r="E170" s="388"/>
      <c r="F170" s="388"/>
      <c r="G170" s="388"/>
      <c r="H170" s="388"/>
      <c r="I170" s="388"/>
      <c r="J170" s="388"/>
      <c r="K170" s="388"/>
      <c r="L170" s="388"/>
      <c r="M170" s="388"/>
      <c r="N170" s="388"/>
      <c r="O170" s="388"/>
      <c r="P170" s="388"/>
      <c r="Q170" s="388"/>
      <c r="R170" s="388"/>
      <c r="S170" s="388"/>
    </row>
    <row r="171" spans="2:19" ht="15.75" hidden="1" x14ac:dyDescent="0.25">
      <c r="B171" s="386"/>
      <c r="C171" s="388"/>
      <c r="D171" s="388"/>
      <c r="E171" s="388"/>
      <c r="F171" s="388"/>
      <c r="G171" s="388"/>
      <c r="H171" s="388"/>
      <c r="I171" s="388"/>
      <c r="J171" s="388"/>
      <c r="K171" s="388"/>
      <c r="L171" s="388"/>
      <c r="M171" s="388"/>
      <c r="N171" s="388"/>
      <c r="O171" s="388"/>
      <c r="P171" s="388"/>
      <c r="Q171" s="388"/>
      <c r="R171" s="388"/>
      <c r="S171" s="388"/>
    </row>
    <row r="172" spans="2:19" ht="15.75" hidden="1" x14ac:dyDescent="0.25">
      <c r="B172" s="386"/>
      <c r="C172" s="388"/>
      <c r="D172" s="388"/>
      <c r="E172" s="388"/>
      <c r="F172" s="388"/>
      <c r="G172" s="388"/>
      <c r="H172" s="388"/>
      <c r="I172" s="388"/>
      <c r="J172" s="388"/>
      <c r="K172" s="388"/>
      <c r="L172" s="388"/>
      <c r="M172" s="388"/>
      <c r="N172" s="388"/>
      <c r="O172" s="388"/>
      <c r="P172" s="388"/>
      <c r="Q172" s="388"/>
      <c r="R172" s="388"/>
      <c r="S172" s="388"/>
    </row>
    <row r="173" spans="2:19" ht="15.75" hidden="1" x14ac:dyDescent="0.25">
      <c r="B173" s="386"/>
      <c r="C173" s="388"/>
      <c r="D173" s="388"/>
      <c r="E173" s="388"/>
      <c r="F173" s="388"/>
      <c r="G173" s="388"/>
      <c r="H173" s="388"/>
      <c r="I173" s="388"/>
      <c r="J173" s="388"/>
      <c r="K173" s="388"/>
      <c r="L173" s="388"/>
      <c r="M173" s="388"/>
      <c r="N173" s="388"/>
      <c r="O173" s="388"/>
      <c r="P173" s="388"/>
      <c r="Q173" s="388"/>
      <c r="R173" s="388"/>
      <c r="S173" s="388"/>
    </row>
    <row r="174" spans="2:19" ht="15.75" hidden="1" x14ac:dyDescent="0.25">
      <c r="B174" s="386"/>
      <c r="C174" s="388"/>
      <c r="D174" s="388"/>
      <c r="E174" s="388"/>
      <c r="F174" s="388"/>
      <c r="G174" s="388"/>
      <c r="H174" s="388"/>
      <c r="I174" s="388"/>
      <c r="J174" s="388"/>
      <c r="K174" s="388"/>
      <c r="L174" s="388"/>
      <c r="M174" s="388"/>
      <c r="N174" s="388"/>
      <c r="O174" s="388"/>
      <c r="P174" s="388"/>
      <c r="Q174" s="388"/>
      <c r="R174" s="388"/>
      <c r="S174" s="388"/>
    </row>
    <row r="175" spans="2:19" ht="15.75" hidden="1" x14ac:dyDescent="0.25">
      <c r="B175" s="386"/>
      <c r="C175" s="388"/>
      <c r="D175" s="388"/>
      <c r="E175" s="388"/>
      <c r="F175" s="388"/>
      <c r="G175" s="388"/>
      <c r="H175" s="388"/>
      <c r="I175" s="388"/>
      <c r="J175" s="388"/>
      <c r="K175" s="388"/>
      <c r="L175" s="388"/>
      <c r="M175" s="388"/>
      <c r="N175" s="388"/>
      <c r="O175" s="388"/>
      <c r="P175" s="388"/>
      <c r="Q175" s="388"/>
      <c r="R175" s="388"/>
      <c r="S175" s="388"/>
    </row>
    <row r="176" spans="2:19" ht="15.75" hidden="1" x14ac:dyDescent="0.25">
      <c r="B176" s="386"/>
      <c r="C176" s="388"/>
      <c r="D176" s="388"/>
      <c r="E176" s="388"/>
      <c r="F176" s="388"/>
      <c r="G176" s="388"/>
      <c r="H176" s="388"/>
      <c r="I176" s="388"/>
      <c r="J176" s="388"/>
      <c r="K176" s="388"/>
      <c r="L176" s="388"/>
      <c r="M176" s="388"/>
      <c r="N176" s="388"/>
      <c r="O176" s="388"/>
      <c r="P176" s="388"/>
      <c r="Q176" s="388"/>
      <c r="R176" s="388"/>
      <c r="S176" s="388"/>
    </row>
    <row r="177" spans="2:19" ht="15.75" hidden="1" x14ac:dyDescent="0.25">
      <c r="B177" s="386"/>
      <c r="C177" s="388"/>
      <c r="D177" s="388"/>
      <c r="E177" s="388"/>
      <c r="F177" s="388"/>
      <c r="G177" s="388"/>
      <c r="H177" s="388"/>
      <c r="I177" s="388"/>
      <c r="J177" s="388"/>
      <c r="K177" s="388"/>
      <c r="L177" s="388"/>
      <c r="M177" s="388"/>
      <c r="N177" s="388"/>
      <c r="O177" s="388"/>
      <c r="P177" s="388"/>
      <c r="Q177" s="388"/>
      <c r="R177" s="388"/>
      <c r="S177" s="388"/>
    </row>
    <row r="178" spans="2:19" ht="15.75" hidden="1" x14ac:dyDescent="0.25">
      <c r="B178" s="386"/>
      <c r="C178" s="388"/>
      <c r="D178" s="388"/>
      <c r="E178" s="388"/>
      <c r="F178" s="388"/>
      <c r="G178" s="388"/>
      <c r="H178" s="388"/>
      <c r="I178" s="388"/>
      <c r="J178" s="388"/>
      <c r="K178" s="388"/>
      <c r="L178" s="388"/>
      <c r="M178" s="388"/>
      <c r="N178" s="388"/>
      <c r="O178" s="388"/>
      <c r="P178" s="388"/>
      <c r="Q178" s="388"/>
      <c r="R178" s="388"/>
      <c r="S178" s="388"/>
    </row>
    <row r="179" spans="2:19" ht="15.75" hidden="1" x14ac:dyDescent="0.25">
      <c r="B179" s="386"/>
      <c r="C179" s="388"/>
      <c r="D179" s="388"/>
      <c r="E179" s="388"/>
      <c r="F179" s="388"/>
      <c r="G179" s="388"/>
      <c r="H179" s="388"/>
      <c r="I179" s="388"/>
      <c r="J179" s="388"/>
      <c r="K179" s="388"/>
      <c r="L179" s="388"/>
      <c r="M179" s="388"/>
      <c r="N179" s="388"/>
      <c r="O179" s="388"/>
      <c r="P179" s="388"/>
      <c r="Q179" s="388"/>
      <c r="R179" s="388"/>
      <c r="S179" s="388"/>
    </row>
    <row r="180" spans="2:19" ht="15.75" hidden="1" x14ac:dyDescent="0.25">
      <c r="B180" s="386"/>
      <c r="C180" s="388"/>
      <c r="D180" s="388"/>
      <c r="E180" s="388"/>
      <c r="F180" s="388"/>
      <c r="G180" s="388"/>
      <c r="H180" s="388"/>
      <c r="I180" s="388"/>
      <c r="J180" s="388"/>
      <c r="K180" s="388"/>
      <c r="L180" s="388"/>
      <c r="M180" s="388"/>
      <c r="N180" s="388"/>
      <c r="O180" s="388"/>
      <c r="P180" s="388"/>
      <c r="Q180" s="388"/>
      <c r="R180" s="388"/>
      <c r="S180" s="388"/>
    </row>
    <row r="181" spans="2:19" ht="15.75" hidden="1" x14ac:dyDescent="0.25">
      <c r="B181" s="386"/>
      <c r="C181" s="388"/>
      <c r="D181" s="388"/>
      <c r="E181" s="388"/>
      <c r="F181" s="388"/>
      <c r="G181" s="388"/>
      <c r="H181" s="388"/>
      <c r="I181" s="388"/>
      <c r="J181" s="388"/>
      <c r="K181" s="388"/>
      <c r="L181" s="388"/>
      <c r="M181" s="388"/>
      <c r="N181" s="388"/>
      <c r="O181" s="388"/>
      <c r="P181" s="388"/>
      <c r="Q181" s="388"/>
      <c r="R181" s="388"/>
      <c r="S181" s="388"/>
    </row>
    <row r="182" spans="2:19" ht="15.75" hidden="1" x14ac:dyDescent="0.25">
      <c r="B182" s="386"/>
      <c r="C182" s="388"/>
      <c r="D182" s="388"/>
      <c r="E182" s="388"/>
      <c r="F182" s="388"/>
      <c r="G182" s="388"/>
      <c r="H182" s="388"/>
      <c r="I182" s="388"/>
      <c r="J182" s="388"/>
      <c r="K182" s="388"/>
      <c r="L182" s="388"/>
      <c r="M182" s="388"/>
      <c r="N182" s="388"/>
      <c r="O182" s="388"/>
      <c r="P182" s="388"/>
      <c r="Q182" s="388"/>
      <c r="R182" s="388"/>
      <c r="S182" s="388"/>
    </row>
    <row r="183" spans="2:19" ht="15.75" hidden="1" x14ac:dyDescent="0.25">
      <c r="B183" s="386"/>
      <c r="C183" s="388"/>
      <c r="D183" s="388"/>
      <c r="E183" s="388"/>
      <c r="F183" s="388"/>
      <c r="G183" s="388"/>
      <c r="H183" s="388"/>
      <c r="I183" s="388"/>
      <c r="J183" s="388"/>
      <c r="K183" s="388"/>
      <c r="L183" s="388"/>
      <c r="M183" s="388"/>
      <c r="N183" s="388"/>
      <c r="O183" s="388"/>
      <c r="P183" s="388"/>
      <c r="Q183" s="388"/>
      <c r="R183" s="388"/>
      <c r="S183" s="388"/>
    </row>
    <row r="184" spans="2:19" ht="15.75" hidden="1" x14ac:dyDescent="0.25">
      <c r="B184" s="386"/>
      <c r="C184" s="388"/>
      <c r="D184" s="388"/>
      <c r="E184" s="388"/>
      <c r="F184" s="388"/>
      <c r="G184" s="388"/>
      <c r="H184" s="388"/>
      <c r="I184" s="388"/>
      <c r="J184" s="388"/>
      <c r="K184" s="388"/>
      <c r="L184" s="388"/>
      <c r="M184" s="388"/>
      <c r="N184" s="388"/>
      <c r="O184" s="388"/>
      <c r="P184" s="388"/>
      <c r="Q184" s="388"/>
      <c r="R184" s="388"/>
      <c r="S184" s="388"/>
    </row>
    <row r="185" spans="2:19" ht="15.75" hidden="1" x14ac:dyDescent="0.25">
      <c r="B185" s="386"/>
      <c r="C185" s="388"/>
      <c r="D185" s="388"/>
      <c r="E185" s="388"/>
      <c r="F185" s="388"/>
      <c r="G185" s="388"/>
      <c r="H185" s="388"/>
      <c r="I185" s="388"/>
      <c r="J185" s="388"/>
      <c r="K185" s="388"/>
      <c r="L185" s="388"/>
      <c r="M185" s="388"/>
      <c r="N185" s="388"/>
      <c r="O185" s="388"/>
      <c r="P185" s="388"/>
      <c r="Q185" s="388"/>
      <c r="R185" s="388"/>
      <c r="S185" s="388"/>
    </row>
    <row r="186" spans="2:19" ht="15.75" hidden="1" x14ac:dyDescent="0.25">
      <c r="B186" s="386"/>
      <c r="C186" s="388"/>
      <c r="D186" s="388"/>
      <c r="E186" s="388"/>
      <c r="F186" s="388"/>
      <c r="G186" s="388"/>
      <c r="H186" s="388"/>
      <c r="I186" s="388"/>
      <c r="J186" s="388"/>
      <c r="K186" s="388"/>
      <c r="L186" s="388"/>
      <c r="M186" s="388"/>
      <c r="N186" s="388"/>
      <c r="O186" s="388"/>
      <c r="P186" s="388"/>
      <c r="Q186" s="388"/>
      <c r="R186" s="388"/>
      <c r="S186" s="388"/>
    </row>
    <row r="187" spans="2:19" ht="15.75" hidden="1" x14ac:dyDescent="0.25">
      <c r="B187" s="386"/>
      <c r="C187" s="388"/>
      <c r="D187" s="388"/>
      <c r="E187" s="388"/>
      <c r="F187" s="388"/>
      <c r="G187" s="388"/>
      <c r="H187" s="388"/>
      <c r="I187" s="388"/>
      <c r="J187" s="388"/>
      <c r="K187" s="388"/>
      <c r="L187" s="388"/>
      <c r="M187" s="388"/>
      <c r="N187" s="388"/>
      <c r="O187" s="388"/>
      <c r="P187" s="388"/>
      <c r="Q187" s="388"/>
      <c r="R187" s="388"/>
      <c r="S187" s="388"/>
    </row>
    <row r="188" spans="2:19" ht="15.75" hidden="1" x14ac:dyDescent="0.25">
      <c r="B188" s="386"/>
      <c r="C188" s="388"/>
      <c r="D188" s="388"/>
      <c r="E188" s="388"/>
      <c r="F188" s="388"/>
      <c r="G188" s="388"/>
      <c r="H188" s="388"/>
      <c r="I188" s="388"/>
      <c r="J188" s="388"/>
      <c r="K188" s="388"/>
      <c r="L188" s="388"/>
      <c r="M188" s="388"/>
      <c r="N188" s="388"/>
      <c r="O188" s="388"/>
      <c r="P188" s="388"/>
      <c r="Q188" s="388"/>
      <c r="R188" s="388"/>
      <c r="S188" s="388"/>
    </row>
    <row r="189" spans="2:19" ht="15.75" hidden="1" x14ac:dyDescent="0.25">
      <c r="B189" s="386"/>
      <c r="C189" s="388"/>
      <c r="D189" s="388"/>
      <c r="E189" s="388"/>
      <c r="F189" s="388"/>
      <c r="G189" s="388"/>
      <c r="H189" s="388"/>
      <c r="I189" s="388"/>
      <c r="J189" s="388"/>
      <c r="K189" s="388"/>
      <c r="L189" s="388"/>
      <c r="M189" s="388"/>
      <c r="N189" s="388"/>
      <c r="O189" s="388"/>
      <c r="P189" s="388"/>
      <c r="Q189" s="388"/>
      <c r="R189" s="388"/>
      <c r="S189" s="388"/>
    </row>
    <row r="190" spans="2:19" ht="15.75" hidden="1" x14ac:dyDescent="0.25">
      <c r="B190" s="386"/>
      <c r="C190" s="388"/>
      <c r="D190" s="388"/>
      <c r="E190" s="388"/>
      <c r="F190" s="388"/>
      <c r="G190" s="388"/>
      <c r="H190" s="388"/>
      <c r="I190" s="388"/>
      <c r="J190" s="388"/>
      <c r="K190" s="388"/>
      <c r="L190" s="388"/>
      <c r="M190" s="388"/>
      <c r="N190" s="388"/>
      <c r="O190" s="388"/>
      <c r="P190" s="388"/>
      <c r="Q190" s="388"/>
      <c r="R190" s="388"/>
      <c r="S190" s="388"/>
    </row>
    <row r="191" spans="2:19" ht="15.75" hidden="1" x14ac:dyDescent="0.25">
      <c r="B191" s="386"/>
      <c r="C191" s="388"/>
      <c r="D191" s="388"/>
      <c r="E191" s="388"/>
      <c r="F191" s="388"/>
      <c r="G191" s="388"/>
      <c r="H191" s="388"/>
      <c r="I191" s="388"/>
      <c r="J191" s="388"/>
      <c r="K191" s="388"/>
      <c r="L191" s="388"/>
      <c r="M191" s="388"/>
      <c r="N191" s="388"/>
      <c r="O191" s="388"/>
      <c r="P191" s="388"/>
      <c r="Q191" s="388"/>
      <c r="R191" s="388"/>
      <c r="S191" s="388"/>
    </row>
    <row r="192" spans="2:19" ht="15.75" hidden="1" x14ac:dyDescent="0.25">
      <c r="B192" s="386"/>
      <c r="C192" s="388"/>
      <c r="D192" s="388"/>
      <c r="E192" s="388"/>
      <c r="F192" s="388"/>
      <c r="G192" s="388"/>
      <c r="H192" s="388"/>
      <c r="I192" s="388"/>
      <c r="J192" s="388"/>
      <c r="K192" s="388"/>
      <c r="L192" s="388"/>
      <c r="M192" s="388"/>
      <c r="N192" s="388"/>
      <c r="O192" s="388"/>
      <c r="P192" s="388"/>
      <c r="Q192" s="388"/>
      <c r="R192" s="388"/>
      <c r="S192" s="388"/>
    </row>
    <row r="193" spans="2:19" ht="15.75" hidden="1" x14ac:dyDescent="0.25">
      <c r="B193" s="386"/>
      <c r="C193" s="388"/>
      <c r="D193" s="388"/>
      <c r="E193" s="388"/>
      <c r="F193" s="388"/>
      <c r="G193" s="388"/>
      <c r="H193" s="388"/>
      <c r="I193" s="388"/>
      <c r="J193" s="388"/>
      <c r="K193" s="388"/>
      <c r="L193" s="388"/>
      <c r="M193" s="388"/>
      <c r="N193" s="388"/>
      <c r="O193" s="388"/>
      <c r="P193" s="388"/>
      <c r="Q193" s="388"/>
      <c r="R193" s="388"/>
      <c r="S193" s="388"/>
    </row>
    <row r="194" spans="2:19" ht="15.75" hidden="1" x14ac:dyDescent="0.25">
      <c r="B194" s="386"/>
      <c r="C194" s="388"/>
      <c r="D194" s="388"/>
      <c r="E194" s="388"/>
      <c r="F194" s="388"/>
      <c r="G194" s="388"/>
      <c r="H194" s="388"/>
      <c r="I194" s="388"/>
      <c r="J194" s="388"/>
      <c r="K194" s="388"/>
      <c r="L194" s="388"/>
      <c r="M194" s="388"/>
      <c r="N194" s="388"/>
      <c r="O194" s="388"/>
      <c r="P194" s="388"/>
      <c r="Q194" s="388"/>
      <c r="R194" s="388"/>
      <c r="S194" s="388"/>
    </row>
    <row r="195" spans="2:19" ht="15.75" hidden="1" x14ac:dyDescent="0.25">
      <c r="B195" s="386"/>
      <c r="C195" s="388"/>
      <c r="D195" s="388"/>
      <c r="E195" s="388"/>
      <c r="F195" s="388"/>
      <c r="G195" s="388"/>
      <c r="H195" s="388"/>
      <c r="I195" s="388"/>
      <c r="J195" s="388"/>
      <c r="K195" s="388"/>
      <c r="L195" s="388"/>
      <c r="M195" s="388"/>
      <c r="N195" s="388"/>
      <c r="O195" s="388"/>
      <c r="P195" s="388"/>
      <c r="Q195" s="388"/>
      <c r="R195" s="388"/>
      <c r="S195" s="388"/>
    </row>
    <row r="196" spans="2:19" ht="15.75" hidden="1" x14ac:dyDescent="0.25">
      <c r="B196" s="386"/>
      <c r="C196" s="388"/>
      <c r="D196" s="388"/>
      <c r="E196" s="388"/>
      <c r="F196" s="388"/>
      <c r="G196" s="388"/>
      <c r="H196" s="388"/>
      <c r="I196" s="388"/>
      <c r="J196" s="388"/>
      <c r="K196" s="388"/>
      <c r="L196" s="388"/>
      <c r="M196" s="388"/>
      <c r="N196" s="388"/>
      <c r="O196" s="388"/>
      <c r="P196" s="388"/>
      <c r="Q196" s="388"/>
      <c r="R196" s="388"/>
      <c r="S196" s="388"/>
    </row>
    <row r="197" spans="2:19" ht="15.75" hidden="1" x14ac:dyDescent="0.25">
      <c r="B197" s="386"/>
      <c r="C197" s="388"/>
      <c r="D197" s="388"/>
      <c r="E197" s="388"/>
      <c r="F197" s="388"/>
      <c r="G197" s="388"/>
      <c r="H197" s="388"/>
      <c r="I197" s="388"/>
      <c r="J197" s="388"/>
      <c r="K197" s="388"/>
      <c r="L197" s="388"/>
      <c r="M197" s="388"/>
      <c r="N197" s="388"/>
      <c r="O197" s="388"/>
      <c r="P197" s="388"/>
      <c r="Q197" s="388"/>
      <c r="R197" s="388"/>
      <c r="S197" s="388"/>
    </row>
    <row r="198" spans="2:19" ht="15.75" hidden="1" x14ac:dyDescent="0.25">
      <c r="B198" s="386"/>
      <c r="C198" s="388"/>
      <c r="D198" s="388"/>
      <c r="E198" s="388"/>
      <c r="F198" s="388"/>
      <c r="G198" s="388"/>
      <c r="H198" s="388"/>
      <c r="I198" s="388"/>
      <c r="J198" s="388"/>
      <c r="K198" s="388"/>
      <c r="L198" s="388"/>
      <c r="M198" s="388"/>
      <c r="N198" s="388"/>
      <c r="O198" s="388"/>
      <c r="P198" s="388"/>
      <c r="Q198" s="388"/>
      <c r="R198" s="388"/>
      <c r="S198" s="388"/>
    </row>
    <row r="199" spans="2:19" ht="15.75" hidden="1" x14ac:dyDescent="0.25">
      <c r="B199" s="386"/>
      <c r="C199" s="388"/>
      <c r="D199" s="388"/>
      <c r="E199" s="388"/>
      <c r="F199" s="388"/>
      <c r="G199" s="388"/>
      <c r="H199" s="388"/>
      <c r="I199" s="388"/>
      <c r="J199" s="388"/>
      <c r="K199" s="388"/>
      <c r="L199" s="388"/>
      <c r="M199" s="388"/>
      <c r="N199" s="388"/>
      <c r="O199" s="388"/>
      <c r="P199" s="388"/>
      <c r="Q199" s="388"/>
      <c r="R199" s="388"/>
      <c r="S199" s="388"/>
    </row>
    <row r="200" spans="2:19" ht="15.75" hidden="1" x14ac:dyDescent="0.25">
      <c r="B200" s="386"/>
      <c r="C200" s="388"/>
      <c r="D200" s="388"/>
      <c r="E200" s="388"/>
      <c r="F200" s="388"/>
      <c r="G200" s="388"/>
      <c r="H200" s="388"/>
      <c r="I200" s="388"/>
      <c r="J200" s="388"/>
      <c r="K200" s="388"/>
      <c r="L200" s="388"/>
      <c r="M200" s="388"/>
      <c r="N200" s="388"/>
      <c r="O200" s="388"/>
      <c r="P200" s="388"/>
      <c r="Q200" s="388"/>
      <c r="R200" s="388"/>
      <c r="S200" s="388"/>
    </row>
    <row r="201" spans="2:19" ht="15.75" hidden="1" x14ac:dyDescent="0.25">
      <c r="B201" s="386"/>
      <c r="C201" s="388"/>
      <c r="D201" s="388"/>
      <c r="E201" s="388"/>
      <c r="F201" s="388"/>
      <c r="G201" s="388"/>
      <c r="H201" s="388"/>
      <c r="I201" s="388"/>
      <c r="J201" s="388"/>
      <c r="K201" s="388"/>
      <c r="L201" s="388"/>
      <c r="M201" s="388"/>
      <c r="N201" s="388"/>
      <c r="O201" s="388"/>
      <c r="P201" s="388"/>
      <c r="Q201" s="388"/>
      <c r="R201" s="388"/>
      <c r="S201" s="388"/>
    </row>
    <row r="202" spans="2:19" ht="15.75" hidden="1" x14ac:dyDescent="0.25">
      <c r="B202" s="386"/>
      <c r="C202" s="388"/>
      <c r="D202" s="388"/>
      <c r="E202" s="388"/>
      <c r="F202" s="388"/>
      <c r="G202" s="388"/>
      <c r="H202" s="388"/>
      <c r="I202" s="388"/>
      <c r="J202" s="388"/>
      <c r="K202" s="388"/>
      <c r="L202" s="388"/>
      <c r="M202" s="388"/>
      <c r="N202" s="388"/>
      <c r="O202" s="388"/>
      <c r="P202" s="388"/>
      <c r="Q202" s="388"/>
      <c r="R202" s="388"/>
      <c r="S202" s="388"/>
    </row>
    <row r="203" spans="2:19" ht="15.75" hidden="1" x14ac:dyDescent="0.25">
      <c r="B203" s="386"/>
      <c r="C203" s="388"/>
      <c r="D203" s="388"/>
      <c r="E203" s="388"/>
      <c r="F203" s="388"/>
      <c r="G203" s="388"/>
      <c r="H203" s="388"/>
      <c r="I203" s="388"/>
      <c r="J203" s="388"/>
      <c r="K203" s="388"/>
      <c r="L203" s="388"/>
      <c r="M203" s="388"/>
      <c r="N203" s="388"/>
      <c r="O203" s="388"/>
      <c r="P203" s="388"/>
      <c r="Q203" s="388"/>
      <c r="R203" s="388"/>
      <c r="S203" s="388"/>
    </row>
    <row r="204" spans="2:19" ht="15.75" hidden="1" x14ac:dyDescent="0.25">
      <c r="B204" s="386"/>
      <c r="C204" s="388"/>
      <c r="D204" s="388"/>
      <c r="E204" s="388"/>
      <c r="F204" s="388"/>
      <c r="G204" s="388"/>
      <c r="H204" s="388"/>
      <c r="I204" s="388"/>
      <c r="J204" s="388"/>
      <c r="K204" s="388"/>
      <c r="L204" s="388"/>
      <c r="M204" s="388"/>
      <c r="N204" s="388"/>
      <c r="O204" s="388"/>
      <c r="P204" s="388"/>
      <c r="Q204" s="388"/>
      <c r="R204" s="388"/>
      <c r="S204" s="388"/>
    </row>
    <row r="205" spans="2:19" ht="15.75" hidden="1" x14ac:dyDescent="0.25">
      <c r="B205" s="386"/>
      <c r="C205" s="388"/>
      <c r="D205" s="388"/>
      <c r="E205" s="388"/>
      <c r="F205" s="388"/>
      <c r="G205" s="388"/>
      <c r="H205" s="388"/>
      <c r="I205" s="388"/>
      <c r="J205" s="388"/>
      <c r="K205" s="388"/>
      <c r="L205" s="388"/>
      <c r="M205" s="388"/>
      <c r="N205" s="388"/>
      <c r="O205" s="388"/>
      <c r="P205" s="388"/>
      <c r="Q205" s="388"/>
      <c r="R205" s="388"/>
      <c r="S205" s="388"/>
    </row>
    <row r="206" spans="2:19" ht="15.75" hidden="1" x14ac:dyDescent="0.25">
      <c r="B206" s="386"/>
      <c r="C206" s="388"/>
      <c r="D206" s="388"/>
      <c r="E206" s="388"/>
      <c r="F206" s="388"/>
      <c r="G206" s="388"/>
      <c r="H206" s="388"/>
      <c r="I206" s="388"/>
      <c r="J206" s="388"/>
      <c r="K206" s="388"/>
      <c r="L206" s="388"/>
      <c r="M206" s="388"/>
      <c r="N206" s="388"/>
      <c r="O206" s="388"/>
      <c r="P206" s="388"/>
      <c r="Q206" s="388"/>
      <c r="R206" s="388"/>
      <c r="S206" s="388"/>
    </row>
    <row r="207" spans="2:19" ht="15.75" hidden="1" x14ac:dyDescent="0.25">
      <c r="B207" s="386"/>
      <c r="C207" s="388"/>
      <c r="D207" s="388"/>
      <c r="E207" s="388"/>
      <c r="F207" s="388"/>
      <c r="G207" s="388"/>
      <c r="H207" s="388"/>
      <c r="I207" s="388"/>
      <c r="J207" s="388"/>
      <c r="K207" s="388"/>
      <c r="L207" s="388"/>
      <c r="M207" s="388"/>
      <c r="N207" s="388"/>
      <c r="O207" s="388"/>
      <c r="P207" s="388"/>
      <c r="Q207" s="388"/>
      <c r="R207" s="388"/>
      <c r="S207" s="388"/>
    </row>
    <row r="208" spans="2:19" ht="15.75" hidden="1" x14ac:dyDescent="0.25">
      <c r="B208" s="386"/>
      <c r="C208" s="388"/>
      <c r="D208" s="388"/>
      <c r="E208" s="388"/>
      <c r="F208" s="388"/>
      <c r="G208" s="388"/>
      <c r="H208" s="388"/>
      <c r="I208" s="388"/>
      <c r="J208" s="388"/>
      <c r="K208" s="388"/>
      <c r="L208" s="388"/>
      <c r="M208" s="388"/>
      <c r="N208" s="388"/>
      <c r="O208" s="388"/>
      <c r="P208" s="388"/>
      <c r="Q208" s="388"/>
      <c r="R208" s="388"/>
      <c r="S208" s="388"/>
    </row>
    <row r="209" spans="2:19" ht="15.75" hidden="1" x14ac:dyDescent="0.25">
      <c r="B209" s="386"/>
      <c r="C209" s="388"/>
      <c r="D209" s="388"/>
      <c r="E209" s="388"/>
      <c r="F209" s="388"/>
      <c r="G209" s="388"/>
      <c r="H209" s="388"/>
      <c r="I209" s="388"/>
      <c r="J209" s="388"/>
      <c r="K209" s="388"/>
      <c r="L209" s="388"/>
      <c r="M209" s="388"/>
      <c r="N209" s="388"/>
      <c r="O209" s="388"/>
      <c r="P209" s="388"/>
      <c r="Q209" s="388"/>
      <c r="R209" s="388"/>
      <c r="S209" s="388"/>
    </row>
    <row r="210" spans="2:19" ht="15.75" hidden="1" x14ac:dyDescent="0.25">
      <c r="B210" s="386"/>
      <c r="C210" s="388"/>
      <c r="D210" s="388"/>
      <c r="E210" s="388"/>
      <c r="F210" s="388"/>
      <c r="G210" s="388"/>
      <c r="H210" s="388"/>
      <c r="I210" s="388"/>
      <c r="J210" s="388"/>
      <c r="K210" s="388"/>
      <c r="L210" s="388"/>
      <c r="M210" s="388"/>
      <c r="N210" s="388"/>
      <c r="O210" s="388"/>
      <c r="P210" s="388"/>
      <c r="Q210" s="388"/>
      <c r="R210" s="388"/>
      <c r="S210" s="388"/>
    </row>
    <row r="211" spans="2:19" ht="15.75" hidden="1" x14ac:dyDescent="0.25">
      <c r="B211" s="386"/>
      <c r="C211" s="388"/>
      <c r="D211" s="388"/>
      <c r="E211" s="388"/>
      <c r="F211" s="388"/>
      <c r="G211" s="388"/>
      <c r="H211" s="388"/>
      <c r="I211" s="388"/>
      <c r="J211" s="388"/>
      <c r="K211" s="388"/>
      <c r="L211" s="388"/>
      <c r="M211" s="388"/>
      <c r="N211" s="388"/>
      <c r="O211" s="388"/>
      <c r="P211" s="388"/>
      <c r="Q211" s="388"/>
      <c r="R211" s="388"/>
      <c r="S211" s="388"/>
    </row>
    <row r="212" spans="2:19" ht="15.75" hidden="1" x14ac:dyDescent="0.25">
      <c r="B212" s="386"/>
      <c r="C212" s="388"/>
      <c r="D212" s="388"/>
      <c r="E212" s="388"/>
      <c r="F212" s="388"/>
      <c r="G212" s="388"/>
      <c r="H212" s="388"/>
      <c r="I212" s="388"/>
      <c r="J212" s="388"/>
      <c r="K212" s="388"/>
      <c r="L212" s="388"/>
      <c r="M212" s="388"/>
      <c r="N212" s="388"/>
      <c r="O212" s="388"/>
      <c r="P212" s="388"/>
      <c r="Q212" s="388"/>
      <c r="R212" s="388"/>
      <c r="S212" s="388"/>
    </row>
    <row r="213" spans="2:19" ht="15.75" hidden="1" x14ac:dyDescent="0.25">
      <c r="B213" s="386"/>
      <c r="C213" s="388"/>
      <c r="D213" s="388"/>
      <c r="E213" s="388"/>
      <c r="F213" s="388"/>
      <c r="G213" s="388"/>
      <c r="H213" s="388"/>
      <c r="I213" s="388"/>
      <c r="J213" s="388"/>
      <c r="K213" s="388"/>
      <c r="L213" s="388"/>
      <c r="M213" s="388"/>
      <c r="N213" s="388"/>
      <c r="O213" s="388"/>
      <c r="P213" s="388"/>
      <c r="Q213" s="388"/>
      <c r="R213" s="388"/>
      <c r="S213" s="388"/>
    </row>
    <row r="214" spans="2:19" ht="15.75" hidden="1" x14ac:dyDescent="0.25">
      <c r="B214" s="386"/>
      <c r="C214" s="388"/>
      <c r="D214" s="388"/>
      <c r="E214" s="388"/>
      <c r="F214" s="388"/>
      <c r="G214" s="388"/>
      <c r="H214" s="388"/>
      <c r="I214" s="388"/>
      <c r="J214" s="388"/>
      <c r="K214" s="388"/>
      <c r="L214" s="388"/>
      <c r="M214" s="388"/>
      <c r="N214" s="388"/>
      <c r="O214" s="388"/>
      <c r="P214" s="388"/>
      <c r="Q214" s="388"/>
      <c r="R214" s="388"/>
      <c r="S214" s="388"/>
    </row>
    <row r="215" spans="2:19" ht="15.75" hidden="1" x14ac:dyDescent="0.25">
      <c r="B215" s="386"/>
      <c r="C215" s="388"/>
      <c r="D215" s="388"/>
      <c r="E215" s="388"/>
      <c r="F215" s="388"/>
      <c r="G215" s="388"/>
      <c r="H215" s="388"/>
      <c r="I215" s="388"/>
      <c r="J215" s="388"/>
      <c r="K215" s="388"/>
      <c r="L215" s="388"/>
      <c r="M215" s="388"/>
      <c r="N215" s="388"/>
      <c r="O215" s="388"/>
      <c r="P215" s="388"/>
      <c r="Q215" s="388"/>
      <c r="R215" s="388"/>
      <c r="S215" s="388"/>
    </row>
    <row r="216" spans="2:19" ht="15.75" hidden="1" x14ac:dyDescent="0.25">
      <c r="B216" s="386"/>
      <c r="C216" s="388"/>
      <c r="D216" s="388"/>
      <c r="E216" s="388"/>
      <c r="F216" s="388"/>
      <c r="G216" s="388"/>
      <c r="H216" s="388"/>
      <c r="I216" s="388"/>
      <c r="J216" s="388"/>
      <c r="K216" s="388"/>
      <c r="L216" s="388"/>
      <c r="M216" s="388"/>
      <c r="N216" s="388"/>
      <c r="O216" s="388"/>
      <c r="P216" s="388"/>
      <c r="Q216" s="388"/>
      <c r="R216" s="388"/>
      <c r="S216" s="388"/>
    </row>
    <row r="217" spans="2:19" ht="15.75" hidden="1" x14ac:dyDescent="0.25">
      <c r="B217" s="386"/>
      <c r="C217" s="388"/>
      <c r="D217" s="388"/>
      <c r="E217" s="388"/>
      <c r="F217" s="388"/>
      <c r="G217" s="388"/>
      <c r="H217" s="388"/>
      <c r="I217" s="388"/>
      <c r="J217" s="388"/>
      <c r="K217" s="388"/>
      <c r="L217" s="388"/>
      <c r="M217" s="388"/>
      <c r="N217" s="388"/>
      <c r="O217" s="388"/>
      <c r="P217" s="388"/>
      <c r="Q217" s="388"/>
      <c r="R217" s="388"/>
      <c r="S217" s="388"/>
    </row>
    <row r="218" spans="2:19" ht="15.75" hidden="1" x14ac:dyDescent="0.25">
      <c r="B218" s="386"/>
      <c r="C218" s="388"/>
      <c r="D218" s="388"/>
      <c r="E218" s="388"/>
      <c r="F218" s="388"/>
      <c r="G218" s="388"/>
      <c r="H218" s="388"/>
      <c r="I218" s="388"/>
      <c r="J218" s="388"/>
      <c r="K218" s="388"/>
      <c r="L218" s="388"/>
      <c r="M218" s="388"/>
      <c r="N218" s="388"/>
      <c r="O218" s="388"/>
      <c r="P218" s="388"/>
      <c r="Q218" s="388"/>
      <c r="R218" s="388"/>
      <c r="S218" s="388"/>
    </row>
    <row r="219" spans="2:19" ht="15.75" hidden="1" x14ac:dyDescent="0.25">
      <c r="B219" s="386"/>
      <c r="C219" s="388"/>
      <c r="D219" s="388"/>
      <c r="E219" s="388"/>
      <c r="F219" s="388"/>
      <c r="G219" s="388"/>
      <c r="H219" s="388"/>
      <c r="I219" s="388"/>
      <c r="J219" s="388"/>
      <c r="K219" s="388"/>
      <c r="L219" s="388"/>
      <c r="M219" s="388"/>
      <c r="N219" s="388"/>
      <c r="O219" s="388"/>
      <c r="P219" s="388"/>
      <c r="Q219" s="388"/>
      <c r="R219" s="388"/>
      <c r="S219" s="388"/>
    </row>
    <row r="220" spans="2:19" ht="15.75" hidden="1" x14ac:dyDescent="0.25">
      <c r="B220" s="386"/>
      <c r="C220" s="388"/>
      <c r="D220" s="388"/>
      <c r="E220" s="388"/>
      <c r="F220" s="388"/>
      <c r="G220" s="388"/>
      <c r="H220" s="388"/>
      <c r="I220" s="388"/>
      <c r="J220" s="388"/>
      <c r="K220" s="388"/>
      <c r="L220" s="388"/>
      <c r="M220" s="388"/>
      <c r="N220" s="388"/>
      <c r="O220" s="388"/>
      <c r="P220" s="388"/>
      <c r="Q220" s="388"/>
      <c r="R220" s="388"/>
      <c r="S220" s="388"/>
    </row>
    <row r="221" spans="2:19" ht="15.75" hidden="1" x14ac:dyDescent="0.25">
      <c r="B221" s="386"/>
      <c r="C221" s="388"/>
      <c r="D221" s="388"/>
      <c r="E221" s="388"/>
      <c r="F221" s="388"/>
      <c r="G221" s="388"/>
      <c r="H221" s="388"/>
      <c r="I221" s="388"/>
      <c r="J221" s="388"/>
      <c r="K221" s="388"/>
      <c r="L221" s="388"/>
      <c r="M221" s="388"/>
      <c r="N221" s="388"/>
      <c r="O221" s="388"/>
      <c r="P221" s="388"/>
      <c r="Q221" s="388"/>
      <c r="R221" s="388"/>
      <c r="S221" s="388"/>
    </row>
    <row r="222" spans="2:19" ht="15.75" hidden="1" x14ac:dyDescent="0.25">
      <c r="B222" s="386"/>
      <c r="C222" s="388"/>
      <c r="D222" s="388"/>
      <c r="E222" s="388"/>
      <c r="F222" s="388"/>
      <c r="G222" s="388"/>
      <c r="H222" s="388"/>
      <c r="I222" s="388"/>
      <c r="J222" s="388"/>
      <c r="K222" s="388"/>
      <c r="L222" s="388"/>
      <c r="M222" s="388"/>
      <c r="N222" s="388"/>
      <c r="O222" s="388"/>
      <c r="P222" s="388"/>
      <c r="Q222" s="388"/>
      <c r="R222" s="388"/>
      <c r="S222" s="388"/>
    </row>
    <row r="223" spans="2:19" ht="15.75" hidden="1" x14ac:dyDescent="0.25">
      <c r="B223" s="386"/>
      <c r="C223" s="388"/>
      <c r="D223" s="388"/>
      <c r="E223" s="388"/>
      <c r="F223" s="388"/>
      <c r="G223" s="388"/>
      <c r="H223" s="388"/>
      <c r="I223" s="388"/>
      <c r="J223" s="388"/>
      <c r="K223" s="388"/>
      <c r="L223" s="388"/>
      <c r="M223" s="388"/>
      <c r="N223" s="388"/>
      <c r="O223" s="388"/>
      <c r="P223" s="388"/>
      <c r="Q223" s="388"/>
      <c r="R223" s="388"/>
      <c r="S223" s="388"/>
    </row>
    <row r="224" spans="2:19" ht="15.75" hidden="1" x14ac:dyDescent="0.25">
      <c r="B224" s="386"/>
      <c r="C224" s="388"/>
      <c r="D224" s="388"/>
      <c r="E224" s="388"/>
      <c r="F224" s="388"/>
      <c r="G224" s="388"/>
      <c r="H224" s="388"/>
      <c r="I224" s="388"/>
      <c r="J224" s="388"/>
      <c r="K224" s="388"/>
      <c r="L224" s="388"/>
      <c r="M224" s="388"/>
      <c r="N224" s="388"/>
      <c r="O224" s="388"/>
      <c r="P224" s="388"/>
      <c r="Q224" s="388"/>
      <c r="R224" s="388"/>
      <c r="S224" s="388"/>
    </row>
    <row r="225" spans="2:19" ht="15.75" hidden="1" x14ac:dyDescent="0.25">
      <c r="B225" s="386"/>
      <c r="C225" s="388"/>
      <c r="D225" s="388"/>
      <c r="E225" s="388"/>
      <c r="F225" s="388"/>
      <c r="G225" s="388"/>
      <c r="H225" s="388"/>
      <c r="I225" s="388"/>
      <c r="J225" s="388"/>
      <c r="K225" s="388"/>
      <c r="L225" s="388"/>
      <c r="M225" s="388"/>
      <c r="N225" s="388"/>
      <c r="O225" s="388"/>
      <c r="P225" s="388"/>
      <c r="Q225" s="388"/>
      <c r="R225" s="388"/>
      <c r="S225" s="388"/>
    </row>
    <row r="226" spans="2:19" ht="15.75" hidden="1" x14ac:dyDescent="0.25">
      <c r="B226" s="386"/>
      <c r="C226" s="388"/>
      <c r="D226" s="388"/>
      <c r="E226" s="388"/>
      <c r="F226" s="388"/>
      <c r="G226" s="388"/>
      <c r="H226" s="388"/>
      <c r="I226" s="388"/>
      <c r="J226" s="388"/>
      <c r="K226" s="388"/>
      <c r="L226" s="388"/>
      <c r="M226" s="388"/>
      <c r="N226" s="388"/>
      <c r="O226" s="388"/>
      <c r="P226" s="388"/>
      <c r="Q226" s="388"/>
      <c r="R226" s="388"/>
      <c r="S226" s="388"/>
    </row>
    <row r="227" spans="2:19" ht="15.75" hidden="1" x14ac:dyDescent="0.25">
      <c r="B227" s="386"/>
      <c r="C227" s="388"/>
      <c r="D227" s="388"/>
      <c r="E227" s="388"/>
      <c r="F227" s="388"/>
      <c r="G227" s="388"/>
      <c r="H227" s="388"/>
      <c r="I227" s="388"/>
      <c r="J227" s="388"/>
      <c r="K227" s="388"/>
      <c r="L227" s="388"/>
      <c r="M227" s="388"/>
      <c r="N227" s="388"/>
      <c r="O227" s="388"/>
      <c r="P227" s="388"/>
      <c r="Q227" s="388"/>
      <c r="R227" s="388"/>
      <c r="S227" s="388"/>
    </row>
    <row r="228" spans="2:19" ht="15.75" hidden="1" x14ac:dyDescent="0.25">
      <c r="B228" s="386"/>
      <c r="C228" s="388"/>
      <c r="D228" s="388"/>
      <c r="E228" s="388"/>
      <c r="F228" s="388"/>
      <c r="G228" s="388"/>
      <c r="H228" s="388"/>
      <c r="I228" s="388"/>
      <c r="J228" s="388"/>
      <c r="K228" s="388"/>
      <c r="L228" s="388"/>
      <c r="M228" s="388"/>
      <c r="N228" s="388"/>
      <c r="O228" s="388"/>
      <c r="P228" s="388"/>
      <c r="Q228" s="388"/>
      <c r="R228" s="388"/>
      <c r="S228" s="388"/>
    </row>
    <row r="229" spans="2:19" ht="15.75" hidden="1" x14ac:dyDescent="0.25">
      <c r="B229" s="386"/>
      <c r="C229" s="388"/>
      <c r="D229" s="388"/>
      <c r="E229" s="388"/>
      <c r="F229" s="388"/>
      <c r="G229" s="388"/>
      <c r="H229" s="388"/>
      <c r="I229" s="388"/>
      <c r="J229" s="388"/>
      <c r="K229" s="388"/>
      <c r="L229" s="388"/>
      <c r="M229" s="388"/>
      <c r="N229" s="388"/>
      <c r="O229" s="388"/>
      <c r="P229" s="388"/>
      <c r="Q229" s="388"/>
      <c r="R229" s="388"/>
      <c r="S229" s="388"/>
    </row>
    <row r="230" spans="2:19" ht="15.75" hidden="1" x14ac:dyDescent="0.25">
      <c r="B230" s="386"/>
      <c r="C230" s="388"/>
      <c r="D230" s="388"/>
      <c r="E230" s="388"/>
      <c r="F230" s="388"/>
      <c r="G230" s="388"/>
      <c r="H230" s="388"/>
      <c r="I230" s="388"/>
      <c r="J230" s="388"/>
      <c r="K230" s="388"/>
      <c r="L230" s="388"/>
      <c r="M230" s="388"/>
      <c r="N230" s="388"/>
      <c r="O230" s="388"/>
      <c r="P230" s="388"/>
      <c r="Q230" s="388"/>
      <c r="R230" s="388"/>
      <c r="S230" s="388"/>
    </row>
    <row r="231" spans="2:19" ht="15.75" hidden="1" x14ac:dyDescent="0.25">
      <c r="B231" s="386"/>
      <c r="C231" s="388"/>
      <c r="D231" s="388"/>
      <c r="E231" s="388"/>
      <c r="F231" s="388"/>
      <c r="G231" s="388"/>
      <c r="H231" s="388"/>
      <c r="I231" s="388"/>
      <c r="J231" s="388"/>
      <c r="K231" s="388"/>
      <c r="L231" s="388"/>
      <c r="M231" s="388"/>
      <c r="N231" s="388"/>
      <c r="O231" s="388"/>
      <c r="P231" s="388"/>
      <c r="Q231" s="388"/>
      <c r="R231" s="388"/>
      <c r="S231" s="388"/>
    </row>
    <row r="232" spans="2:19" ht="15.75" hidden="1" x14ac:dyDescent="0.25">
      <c r="B232" s="386"/>
      <c r="C232" s="388"/>
      <c r="D232" s="388"/>
      <c r="E232" s="388"/>
      <c r="F232" s="388"/>
      <c r="G232" s="388"/>
      <c r="H232" s="388"/>
      <c r="I232" s="388"/>
      <c r="J232" s="388"/>
      <c r="K232" s="388"/>
      <c r="L232" s="388"/>
      <c r="M232" s="388"/>
      <c r="N232" s="388"/>
      <c r="O232" s="388"/>
      <c r="P232" s="388"/>
      <c r="Q232" s="388"/>
      <c r="R232" s="388"/>
      <c r="S232" s="388"/>
    </row>
    <row r="233" spans="2:19" ht="15.75" hidden="1" x14ac:dyDescent="0.25">
      <c r="B233" s="386"/>
      <c r="C233" s="388"/>
      <c r="D233" s="388"/>
      <c r="E233" s="388"/>
      <c r="F233" s="388"/>
      <c r="G233" s="388"/>
      <c r="H233" s="388"/>
      <c r="I233" s="388"/>
      <c r="J233" s="388"/>
      <c r="K233" s="388"/>
      <c r="L233" s="388"/>
      <c r="M233" s="388"/>
      <c r="N233" s="388"/>
      <c r="O233" s="388"/>
      <c r="P233" s="388"/>
      <c r="Q233" s="388"/>
      <c r="R233" s="388"/>
      <c r="S233" s="388"/>
    </row>
    <row r="234" spans="2:19" ht="15.75" hidden="1" x14ac:dyDescent="0.25">
      <c r="B234" s="386"/>
      <c r="C234" s="388"/>
      <c r="D234" s="388"/>
      <c r="E234" s="388"/>
      <c r="F234" s="388"/>
      <c r="G234" s="388"/>
      <c r="H234" s="388"/>
      <c r="I234" s="388"/>
      <c r="J234" s="388"/>
      <c r="K234" s="388"/>
      <c r="L234" s="388"/>
      <c r="M234" s="388"/>
      <c r="N234" s="388"/>
      <c r="O234" s="388"/>
      <c r="P234" s="388"/>
      <c r="Q234" s="388"/>
      <c r="R234" s="388"/>
      <c r="S234" s="388"/>
    </row>
    <row r="235" spans="2:19" ht="15.75" hidden="1" x14ac:dyDescent="0.25">
      <c r="B235" s="386"/>
      <c r="C235" s="388"/>
      <c r="D235" s="388"/>
      <c r="E235" s="388"/>
      <c r="F235" s="388"/>
      <c r="G235" s="388"/>
      <c r="H235" s="388"/>
      <c r="I235" s="388"/>
      <c r="J235" s="388"/>
      <c r="K235" s="388"/>
      <c r="L235" s="388"/>
      <c r="M235" s="388"/>
      <c r="N235" s="388"/>
      <c r="O235" s="388"/>
      <c r="P235" s="388"/>
      <c r="Q235" s="388"/>
      <c r="R235" s="388"/>
      <c r="S235" s="388"/>
    </row>
    <row r="236" spans="2:19" ht="15.75" hidden="1" x14ac:dyDescent="0.25">
      <c r="B236" s="386"/>
      <c r="C236" s="388"/>
      <c r="D236" s="388"/>
      <c r="E236" s="388"/>
      <c r="F236" s="388"/>
      <c r="G236" s="388"/>
      <c r="H236" s="388"/>
      <c r="I236" s="388"/>
      <c r="J236" s="388"/>
      <c r="K236" s="388"/>
      <c r="L236" s="388"/>
      <c r="M236" s="388"/>
      <c r="N236" s="388"/>
      <c r="O236" s="388"/>
      <c r="P236" s="388"/>
      <c r="Q236" s="388"/>
      <c r="R236" s="388"/>
      <c r="S236" s="388"/>
    </row>
    <row r="237" spans="2:19" hidden="1" x14ac:dyDescent="0.25"/>
    <row r="238" spans="2:19" hidden="1" x14ac:dyDescent="0.25"/>
    <row r="239" spans="2:19" hidden="1" x14ac:dyDescent="0.25"/>
    <row r="240" spans="2:19"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sheetData>
  <sheetProtection algorithmName="SHA-512" hashValue="yUOlZ2/PYoynRCKGxGO2UNflSkin5h9Ur1frOnQmBE5bp23sHU9mjgipFmIEpkKqmFcuxv3ndSyMXzBYVMPglg==" saltValue="hpHmSW4FGJdooUxSZ1GGCA==" spinCount="100000" sheet="1" objects="1" scenarios="1"/>
  <mergeCells count="120">
    <mergeCell ref="B41:M41"/>
    <mergeCell ref="B19:D19"/>
    <mergeCell ref="G19:I19"/>
    <mergeCell ref="B22:D22"/>
    <mergeCell ref="G22:I22"/>
    <mergeCell ref="B25:M25"/>
    <mergeCell ref="G37:I37"/>
    <mergeCell ref="G38:I38"/>
    <mergeCell ref="B29:D29"/>
    <mergeCell ref="G29:I29"/>
    <mergeCell ref="B33:M33"/>
    <mergeCell ref="G53:N53"/>
    <mergeCell ref="G54:N54"/>
    <mergeCell ref="B60:F60"/>
    <mergeCell ref="G58:N58"/>
    <mergeCell ref="B58:F58"/>
    <mergeCell ref="B59:F59"/>
    <mergeCell ref="C63:F63"/>
    <mergeCell ref="G67:N67"/>
    <mergeCell ref="G68:N68"/>
    <mergeCell ref="C64:F64"/>
    <mergeCell ref="C65:F65"/>
    <mergeCell ref="C66:F66"/>
    <mergeCell ref="C67:F67"/>
    <mergeCell ref="C68:F68"/>
    <mergeCell ref="B5:D5"/>
    <mergeCell ref="B6:D6"/>
    <mergeCell ref="B7:D7"/>
    <mergeCell ref="G64:N64"/>
    <mergeCell ref="G65:N65"/>
    <mergeCell ref="G66:N66"/>
    <mergeCell ref="G61:N61"/>
    <mergeCell ref="E5:H5"/>
    <mergeCell ref="E6:H6"/>
    <mergeCell ref="E7:H7"/>
    <mergeCell ref="B52:F52"/>
    <mergeCell ref="G52:N52"/>
    <mergeCell ref="B53:F53"/>
    <mergeCell ref="B54:F54"/>
    <mergeCell ref="B55:F55"/>
    <mergeCell ref="B56:F56"/>
    <mergeCell ref="B57:F57"/>
    <mergeCell ref="B61:F61"/>
    <mergeCell ref="G63:N63"/>
    <mergeCell ref="G55:N55"/>
    <mergeCell ref="B37:D37"/>
    <mergeCell ref="B38:D38"/>
    <mergeCell ref="B49:N49"/>
    <mergeCell ref="B50:N50"/>
    <mergeCell ref="C95:F95"/>
    <mergeCell ref="C97:F97"/>
    <mergeCell ref="C83:F83"/>
    <mergeCell ref="C84:F84"/>
    <mergeCell ref="C85:F85"/>
    <mergeCell ref="C88:F88"/>
    <mergeCell ref="C98:F98"/>
    <mergeCell ref="C87:F87"/>
    <mergeCell ref="C96:F96"/>
    <mergeCell ref="C89:F89"/>
    <mergeCell ref="C90:F90"/>
    <mergeCell ref="C102:F102"/>
    <mergeCell ref="G90:N90"/>
    <mergeCell ref="G87:N87"/>
    <mergeCell ref="G77:N77"/>
    <mergeCell ref="C101:F101"/>
    <mergeCell ref="G102:N102"/>
    <mergeCell ref="G95:N95"/>
    <mergeCell ref="G96:N96"/>
    <mergeCell ref="G97:N97"/>
    <mergeCell ref="G98:N98"/>
    <mergeCell ref="G99:N99"/>
    <mergeCell ref="G100:N100"/>
    <mergeCell ref="G101:N101"/>
    <mergeCell ref="C100:F100"/>
    <mergeCell ref="C82:F82"/>
    <mergeCell ref="C78:F78"/>
    <mergeCell ref="C86:F86"/>
    <mergeCell ref="C79:F79"/>
    <mergeCell ref="C80:F80"/>
    <mergeCell ref="C99:F99"/>
    <mergeCell ref="C91:F91"/>
    <mergeCell ref="C92:F92"/>
    <mergeCell ref="C93:F93"/>
    <mergeCell ref="C94:F94"/>
    <mergeCell ref="C81:F81"/>
    <mergeCell ref="G56:N56"/>
    <mergeCell ref="G57:N57"/>
    <mergeCell ref="G60:N60"/>
    <mergeCell ref="G83:N83"/>
    <mergeCell ref="G84:N84"/>
    <mergeCell ref="G91:N91"/>
    <mergeCell ref="G92:N92"/>
    <mergeCell ref="G93:N93"/>
    <mergeCell ref="C77:F77"/>
    <mergeCell ref="G76:N76"/>
    <mergeCell ref="G71:N71"/>
    <mergeCell ref="C75:F75"/>
    <mergeCell ref="C71:F71"/>
    <mergeCell ref="C76:F76"/>
    <mergeCell ref="C69:F69"/>
    <mergeCell ref="C72:F72"/>
    <mergeCell ref="C73:F73"/>
    <mergeCell ref="C74:F74"/>
    <mergeCell ref="C70:F70"/>
    <mergeCell ref="G94:N94"/>
    <mergeCell ref="G75:N75"/>
    <mergeCell ref="G69:N69"/>
    <mergeCell ref="G78:N78"/>
    <mergeCell ref="G79:N79"/>
    <mergeCell ref="G80:N80"/>
    <mergeCell ref="G81:N81"/>
    <mergeCell ref="G82:N82"/>
    <mergeCell ref="G70:N70"/>
    <mergeCell ref="G72:N72"/>
    <mergeCell ref="G73:N73"/>
    <mergeCell ref="G74:N74"/>
    <mergeCell ref="G89:N89"/>
    <mergeCell ref="G86:N86"/>
    <mergeCell ref="G85:N85"/>
    <mergeCell ref="G88:N88"/>
  </mergeCells>
  <hyperlinks>
    <hyperlink ref="C64" location="'E-1 Passive Design'!A1" tooltip="E-1 Passive design" display="E-1 Passive design"/>
    <hyperlink ref="C65" location="'E-2 Building Envelope'!A1" tooltip="E-2 Building Envelope" display="E-2 Building Envelope"/>
    <hyperlink ref="E65" location="'E-2 Building Envelope'!A1" tooltip="E-2 Building Envelope" display="E-2 Building Envelope"/>
    <hyperlink ref="C66" location="'E-3 Home cooling'!A1" tooltip="E-3 Home Cooling" display="E-3 Home Cooling"/>
    <hyperlink ref="E66" location="'E-3 Home cooling'!A1" tooltip="E-3 Home Cooling" display="E-3 Home Cooling"/>
    <hyperlink ref="C67" location="'E-4 Artificial Lighting'!A1" tooltip="E-4 Artificial Lighting" display="E-4 Artificial Lighting"/>
    <hyperlink ref="E67" location="'E-4 Artificial Lighting'!A1" tooltip="E-4 Artificial Lighting" display="E-4 Artificial Lighting"/>
    <hyperlink ref="C68" location="'E-5 Domestic water heating'!A1" tooltip="E-5 Domestic water heating" display="E-5 Domestic water heating"/>
    <hyperlink ref="E68" location="'E-5 Domestic water heating'!A1" tooltip="E-5 Domestic water heating" display="E-5 Domestic water heating"/>
    <hyperlink ref="C69" location="'E-6 Energy Efficient Appliances'!A1" tooltip="E-6 Energy Efficient Appliances" display="E-6 Energy Efficient Appliances"/>
    <hyperlink ref="E69" location="'E-6 Energy Efficient Appliances'!A1" tooltip="E-6 Energy Efficient Appliances" display="E-6 Energy Efficient Appliances"/>
    <hyperlink ref="C70" location="'E-7 Energy Monitors '!A1" tooltip="E-7 Energy Monitors " display="E-7 Energy Monitors "/>
    <hyperlink ref="E70" location="'E-7 Energy Monitors '!A1" tooltip="E-7 Energy Monitors " display="E-7 Energy Monitors "/>
    <hyperlink ref="C71:D71" location="'Energy BPC'!A1" tooltip="Best Practice Credits" display="Best Practice Credits"/>
    <hyperlink ref="C72:D72" location="'W-1 Water Efficient Fixtures'!A1" tooltip="W-1 Water Efficient Fixtures" display="W-1 Water Efficient Fixtures"/>
    <hyperlink ref="E72:F72" location="'W-1 Water Efficient Fixtures'!A1" tooltip="W-1 Water Efficient Fixtures" display="W-1 Water Efficient Fixtures"/>
    <hyperlink ref="C73:D73" location="'W-2 Water Efficient Landscaping'!A1" tooltip="W-2 Water Efficient Landscaping" display="W-2 Water Efficient Landscaping"/>
    <hyperlink ref="E73:F73" location="'W-2 Water Efficient Landscaping'!A1" tooltip="W-2 Water Efficient Landscaping" display="W-2 Water Efficient Landscaping"/>
    <hyperlink ref="C74:D74" location="'W-3 Drinking Water '!A1" tooltip="W-3 Drinking Water " display="W-3 Drinking Water "/>
    <hyperlink ref="E74:F74" location="'W-3 Drinking Water '!A1" tooltip="W-3 Drinking Water " display="W-3 Drinking Water "/>
    <hyperlink ref="C75:D75" location="'Water BPC'!A1" tooltip="Best Practice Credits" display="Best Practice Credits"/>
    <hyperlink ref="E75:F75" location="'Water BPC'!A1" tooltip="Best Practice Credits" display="Best Practice Credits"/>
    <hyperlink ref="C76:D76" location="'M-1 Building Structure'!A1" tooltip="M-1 Building Structure" display="M-1 Building Structure"/>
    <hyperlink ref="E76:F76" location="'M-1 Building Structure'!A1" tooltip="M-1 Building Structure" display="M-1 Building Structure"/>
    <hyperlink ref="C77:D77" location="'M-2 Non-structural'!A1" tooltip="M-2 Non-structural walls &amp; ceilings" display="M-2 Non-structural walls &amp; ceilings"/>
    <hyperlink ref="E77:F77" location="'M-2 Non-structural'!A1" tooltip="M-2 Non-structural walls &amp; ceilings" display="M-2 Non-structural walls &amp; ceilings"/>
    <hyperlink ref="C78:D78" location="'M-3 Windows and doors'!A1" tooltip="M-3 Windows and doors" display="M-3 Windows and doors"/>
    <hyperlink ref="E78:F78" location="'M-3 Windows and doors'!A1" tooltip="M-3 Windows and doors" display="M-3 Windows and doors"/>
    <hyperlink ref="C79:D79" location="'M-4 Flooring materials'!A1" tooltip="M-4 Flooring materials" display="M-4 Flooring materials"/>
    <hyperlink ref="E79:F79" location="'M-4 Flooring materials'!A1" tooltip="M-4 Flooring materials" display="M-4 Flooring materials"/>
    <hyperlink ref="C80:D80" location="'M-5 Roofing materials'!A1" tooltip="M-5 Roofing materials" display="M-5 Roofing materials"/>
    <hyperlink ref="E80:F80" location="'M-5 Roofing materials'!A1" tooltip="M-5 Roofing materials" display="M-5 Roofing materials"/>
    <hyperlink ref="C81:D81" location="'M-6 Fitted Furniture'!A1" tooltip="M-6 Fitted Furniture" display="M-6 Fitted Furniture"/>
    <hyperlink ref="E81:F81" location="'M-6 Fitted Furniture'!A1" tooltip="M-6 Fitted Furniture" display="M-6 Fitted Furniture"/>
    <hyperlink ref="C82" location="'H-1 Fresh Air Supply'!A1" tooltip="H-1 Fresh Air Supply" display="H-1 Fresh Air Supply"/>
    <hyperlink ref="E82" location="'H-1 Fresh Air Supply'!A1" tooltip="H-1 Fresh Air Supply" display="H-1 Fresh Air Supply"/>
    <hyperlink ref="C83" location="'H-2 Ventilation in wet areas'!A1" tooltip="H-2 Ventilation in Wet Areas" display="H-2 Ventilation in Wet Areas"/>
    <hyperlink ref="E83" location="'H-2 Ventilation in wet areas'!A1" tooltip="H-2 Ventilation in Wet Areas" display="H-2 Ventilation in Wet Areas"/>
    <hyperlink ref="C84" location="'H-3 Hazardous Materials'!A1" tooltip="H-3 Hazardous Materials" display="H-3 Hazardous Materials"/>
    <hyperlink ref="E84" location="'H-3 Hazardous Materials'!A1" tooltip="H-3 Hazardous Materials" display="H-3 Hazardous Materials"/>
    <hyperlink ref="C85" location="'H-4 Daylighting'!A1" tooltip="H-4 Daylighting" display="H-4 Daylighting"/>
    <hyperlink ref="E85" location="'H-4 Daylighting'!A1" tooltip="H-4 Daylighting" display="H-4 Daylighting"/>
    <hyperlink ref="C87:D87" location="'H&amp;C BPC'!A1" tooltip="Best Practice Credits" display="Best Practice Credits"/>
    <hyperlink ref="E87:F87" location="'H&amp;C BPC'!A1" tooltip="Best Practice Credits" display="Best Practice Credits"/>
    <hyperlink ref="C88:D88" location="'LE-1 Site Selection'!A1" tooltip="LE-1 Site Selection" display="LE-1 Site Selection"/>
    <hyperlink ref="E88:F88" location="'LE-1 Site Selection'!A1" tooltip="LE-1 Site Selection" display="LE-1 Site Selection"/>
    <hyperlink ref="C89:D89" location="'LE-2 Site design'!A1" tooltip="LE-2 Site Design " display="LE-2 Site Design "/>
    <hyperlink ref="E89:F89" location="'LE-2 Site design'!A1" tooltip="LE-2 Site Design " display="LE-2 Site Design "/>
    <hyperlink ref="C90:D90" location="'LE-3 Vegetation'!A1" tooltip="LE-3 Vegetation" display="LE-3 Vegetation"/>
    <hyperlink ref="E90:F90" location="'LE-3 Vegetation'!A1" tooltip="LE-3 Vegetation" display="LE-3 Vegetation"/>
    <hyperlink ref="C91:D91" location="'LE-4 Heat Island Effect'!A1" tooltip="LE-4 Heat Island Effect" display="LE-4 Heat Island Effect"/>
    <hyperlink ref="E91:F91" location="'LE-4 Heat Island Effect'!A1" tooltip="LE-4 Heat Island Effect" display="LE-4 Heat Island Effect"/>
    <hyperlink ref="C92:D92" location="'LE-5 Storm Water Runoff'!A1" tooltip="LE-5 Storm Water Runoff " display="LE-5 Storm Water Runoff "/>
    <hyperlink ref="E92:F92" location="'LE-5 Storm Water Runoff'!A1" tooltip="LE-5 Storm Water Runoff " display="LE-5 Storm Water Runoff "/>
    <hyperlink ref="C93:D93" location="'LE-6 Flood Risk Mitigation'!A1" tooltip="LE-6 Flood Risk Mitigation" display="LE-6 Flood Risk Mitigation"/>
    <hyperlink ref="E93:F93" location="'LE-6 Flood Risk Mitigation'!A1" tooltip="LE-6 Flood Risk Mitigation" display="LE-6 Flood Risk Mitigation"/>
    <hyperlink ref="C94:D94" location="'LE-7 Refrigerants'!A1" tooltip="LE-7 Refrigerants" display="LE-7 Refrigerants"/>
    <hyperlink ref="E94:F94" location="'LE-7 Refrigerants'!A1" tooltip="LE-7 Refrigerants" display="LE-7 Refrigerants"/>
    <hyperlink ref="C95:D95" location="'LE-8 Waste Management'!A1" tooltip="LE-8 Waste Management" display="LE-8 Waste Management"/>
    <hyperlink ref="E95:F95" location="'LE-8 Waste Management'!A1" tooltip="LE-8 Waste Management" display="LE-8 Waste Management"/>
    <hyperlink ref="C96:D96" location="'LE BPC'!A1" tooltip="Best Practice Credit" display="Best Practice Credit"/>
    <hyperlink ref="E96:F96" location="'LE BPC'!A1" tooltip="Best Practice Credit" display="Best Practice Credit"/>
    <hyperlink ref="C97" location="'CM-1 Design Stage'!A1" tooltip="CM-1 Design Stage" display="CM-1 Design Stage"/>
    <hyperlink ref="E97" location="'CM-1 Design Stage'!A1" tooltip="CM-1 Design Stage" display="CM-1 Design Stage"/>
    <hyperlink ref="C98" location="'CM-2 Construction Management'!A1" tooltip="CM-2 Construction Management" display="CM-2 Construction Management"/>
    <hyperlink ref="E98" location="'CM-2 Construction Management'!A1" tooltip="CM-2 Construction Management" display="CM-2 Construction Management"/>
    <hyperlink ref="C99" location="'CM-3 Operational Management'!A1" tooltip="CM-3 Operational Management" display="CM-3 Operational Management"/>
    <hyperlink ref="E99" location="'CM-3 Operational Management'!A1" tooltip="CM-3 Operational Management" display="CM-3 Operational Management"/>
    <hyperlink ref="C100:D100" location="'CM BPC'!A1" tooltip="Best Practice Credits" display="Best Practice Credits"/>
    <hyperlink ref="E100:F100" location="'CM BPC'!A1" tooltip="Best Practice Credits" display="Best Practice Credits"/>
    <hyperlink ref="B53" location="'E-1 Passive Design'!A1" tooltip="E-1 Passive design" display="E-1 Passive design"/>
    <hyperlink ref="B53:F53" location="Introduction!A1" tooltip="Introduction" display="Introduction"/>
    <hyperlink ref="B54" location="'E-1 Passive Design'!A1" tooltip="E-1 Passive design" display="E-1 Passive design"/>
    <hyperlink ref="B54:F54" location="Instructions!A1" tooltip="Instructions" display="Instructions"/>
    <hyperlink ref="B55" location="'E-1 Passive Design'!A1" tooltip="E-1 Passive design" display="E-1 Passive design"/>
    <hyperlink ref="B55:F55" location="'LOTUS Homes Scorecard'!A1" tooltip="Scorecard" display="LOTUS Homes Scorecard"/>
    <hyperlink ref="B56" location="'E-1 Passive Design'!A1" tooltip="E-1 Passive design" display="E-1 Passive design"/>
    <hyperlink ref="B56:F56" location="'Graphical Results'!A1" tooltip="Graphical Results" display="Graphical Results"/>
    <hyperlink ref="B57" location="'E-1 Passive Design'!A1" tooltip="E-1 Passive design" display="E-1 Passive design"/>
    <hyperlink ref="B57:F57" location="'Project information'!A1" tooltip="Project Information" display="Project Information"/>
    <hyperlink ref="B61:F61" location="Resources!A1" tooltip="Resources" display="Resources"/>
    <hyperlink ref="B60" location="'E-1 Passive Design'!A1" tooltip="E-1 Passive design" display="E-1 Passive design"/>
    <hyperlink ref="B60:F60" location="Energy!A1" tooltip="Categories" display="Categories"/>
    <hyperlink ref="C86" location="'H-4 Daylighting'!A1" tooltip="H-4 Daylighting" display="H-4 Daylighting"/>
    <hyperlink ref="E86" location="'H-4 Daylighting'!A1" tooltip="H-4 Daylighting" display="H-4 Daylighting"/>
    <hyperlink ref="C86:F86" location="'H-5 Acoustic Comfort'!A1" tooltip="Acoustic Comfort" display="Acoustic Comfort"/>
    <hyperlink ref="C101:F101" location="'Inn-1 Exceptional Performance '!A1" display="Exceptional Performance Enhancement"/>
    <hyperlink ref="C102:F102" location="'Inn-2 Innovative Techniques'!A1" display="Innovative techniques/initiative"/>
    <hyperlink ref="C81:F81" location="'M-6 Furniture'!A1" tooltip="M-6 Furniture" display="Furniture"/>
    <hyperlink ref="C68:F68" location="'E-5 Water heating'!A1" tooltip="E-5 Water heating" display="Water heating"/>
    <hyperlink ref="C77:F77" location="'M-2 Non-structural walls'!A1" tooltip="M-2 Non-structural walls" display="Non-structural walls"/>
    <hyperlink ref="B58" location="'E-1 Passive Design'!A1" tooltip="E-1 Passive design" display="E-1 Passive design"/>
    <hyperlink ref="B58:F58" location="'Pre-assessment checklist'!A1" tooltip="Pre-assessment checklist" display="Pre-assessment checklist"/>
    <hyperlink ref="B59" location="'E-1 Passive Design'!A1" tooltip="E-1 Passive design" display="E-1 Passive design"/>
    <hyperlink ref="B59:F59" location="'Full stage checklist '!A1" tooltip="Full stage checklist " display="Full stage checklist "/>
  </hyperlink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67937" r:id="rId3" name="Check Box 1">
              <controlPr defaultSize="0" autoFill="0" autoLine="0" autoPict="0">
                <anchor moveWithCells="1">
                  <from>
                    <xdr:col>4</xdr:col>
                    <xdr:colOff>190500</xdr:colOff>
                    <xdr:row>35</xdr:row>
                    <xdr:rowOff>171450</xdr:rowOff>
                  </from>
                  <to>
                    <xdr:col>4</xdr:col>
                    <xdr:colOff>495300</xdr:colOff>
                    <xdr:row>37</xdr:row>
                    <xdr:rowOff>0</xdr:rowOff>
                  </to>
                </anchor>
              </controlPr>
            </control>
          </mc:Choice>
        </mc:AlternateContent>
        <mc:AlternateContent xmlns:mc="http://schemas.openxmlformats.org/markup-compatibility/2006">
          <mc:Choice Requires="x14">
            <control shapeId="167939" r:id="rId4" name="Check Box 3">
              <controlPr defaultSize="0" autoFill="0" autoLine="0" autoPict="0">
                <anchor moveWithCells="1">
                  <from>
                    <xdr:col>4</xdr:col>
                    <xdr:colOff>190500</xdr:colOff>
                    <xdr:row>37</xdr:row>
                    <xdr:rowOff>0</xdr:rowOff>
                  </from>
                  <to>
                    <xdr:col>4</xdr:col>
                    <xdr:colOff>495300</xdr:colOff>
                    <xdr:row>38</xdr:row>
                    <xdr:rowOff>19050</xdr:rowOff>
                  </to>
                </anchor>
              </controlPr>
            </control>
          </mc:Choice>
        </mc:AlternateContent>
        <mc:AlternateContent xmlns:mc="http://schemas.openxmlformats.org/markup-compatibility/2006">
          <mc:Choice Requires="x14">
            <control shapeId="167943" r:id="rId5" name="Check Box 7">
              <controlPr defaultSize="0" autoFill="0" autoLine="0" autoPict="0">
                <anchor moveWithCells="1">
                  <from>
                    <xdr:col>9</xdr:col>
                    <xdr:colOff>190500</xdr:colOff>
                    <xdr:row>35</xdr:row>
                    <xdr:rowOff>171450</xdr:rowOff>
                  </from>
                  <to>
                    <xdr:col>9</xdr:col>
                    <xdr:colOff>495300</xdr:colOff>
                    <xdr:row>37</xdr:row>
                    <xdr:rowOff>0</xdr:rowOff>
                  </to>
                </anchor>
              </controlPr>
            </control>
          </mc:Choice>
        </mc:AlternateContent>
        <mc:AlternateContent xmlns:mc="http://schemas.openxmlformats.org/markup-compatibility/2006">
          <mc:Choice Requires="x14">
            <control shapeId="167944" r:id="rId6" name="Check Box 8">
              <controlPr defaultSize="0" autoFill="0" autoLine="0" autoPict="0">
                <anchor moveWithCells="1">
                  <from>
                    <xdr:col>9</xdr:col>
                    <xdr:colOff>190500</xdr:colOff>
                    <xdr:row>37</xdr:row>
                    <xdr:rowOff>0</xdr:rowOff>
                  </from>
                  <to>
                    <xdr:col>9</xdr:col>
                    <xdr:colOff>495300</xdr:colOff>
                    <xdr:row>38</xdr:row>
                    <xdr:rowOff>19050</xdr:rowOff>
                  </to>
                </anchor>
              </controlPr>
            </control>
          </mc:Choice>
        </mc:AlternateContent>
        <mc:AlternateContent xmlns:mc="http://schemas.openxmlformats.org/markup-compatibility/2006">
          <mc:Choice Requires="x14">
            <control shapeId="167947" r:id="rId7" name="Check Box 11">
              <controlPr defaultSize="0" autoFill="0" autoLine="0" autoPict="0">
                <anchor moveWithCells="1">
                  <from>
                    <xdr:col>4</xdr:col>
                    <xdr:colOff>190500</xdr:colOff>
                    <xdr:row>27</xdr:row>
                    <xdr:rowOff>171450</xdr:rowOff>
                  </from>
                  <to>
                    <xdr:col>4</xdr:col>
                    <xdr:colOff>495300</xdr:colOff>
                    <xdr:row>29</xdr:row>
                    <xdr:rowOff>9525</xdr:rowOff>
                  </to>
                </anchor>
              </controlPr>
            </control>
          </mc:Choice>
        </mc:AlternateContent>
        <mc:AlternateContent xmlns:mc="http://schemas.openxmlformats.org/markup-compatibility/2006">
          <mc:Choice Requires="x14">
            <control shapeId="167948" r:id="rId8" name="Check Box 12">
              <controlPr defaultSize="0" autoFill="0" autoLine="0" autoPict="0">
                <anchor moveWithCells="1">
                  <from>
                    <xdr:col>9</xdr:col>
                    <xdr:colOff>190500</xdr:colOff>
                    <xdr:row>27</xdr:row>
                    <xdr:rowOff>171450</xdr:rowOff>
                  </from>
                  <to>
                    <xdr:col>9</xdr:col>
                    <xdr:colOff>495300</xdr:colOff>
                    <xdr:row>29</xdr:row>
                    <xdr:rowOff>9525</xdr:rowOff>
                  </to>
                </anchor>
              </controlPr>
            </control>
          </mc:Choice>
        </mc:AlternateContent>
        <mc:AlternateContent xmlns:mc="http://schemas.openxmlformats.org/markup-compatibility/2006">
          <mc:Choice Requires="x14">
            <control shapeId="167953" r:id="rId9" name="Check Box 17">
              <controlPr defaultSize="0" autoFill="0" autoLine="0" autoPict="0">
                <anchor moveWithCells="1">
                  <from>
                    <xdr:col>4</xdr:col>
                    <xdr:colOff>190500</xdr:colOff>
                    <xdr:row>17</xdr:row>
                    <xdr:rowOff>171450</xdr:rowOff>
                  </from>
                  <to>
                    <xdr:col>4</xdr:col>
                    <xdr:colOff>495300</xdr:colOff>
                    <xdr:row>19</xdr:row>
                    <xdr:rowOff>9525</xdr:rowOff>
                  </to>
                </anchor>
              </controlPr>
            </control>
          </mc:Choice>
        </mc:AlternateContent>
        <mc:AlternateContent xmlns:mc="http://schemas.openxmlformats.org/markup-compatibility/2006">
          <mc:Choice Requires="x14">
            <control shapeId="167954" r:id="rId10" name="Check Box 18">
              <controlPr defaultSize="0" autoFill="0" autoLine="0" autoPict="0">
                <anchor moveWithCells="1">
                  <from>
                    <xdr:col>9</xdr:col>
                    <xdr:colOff>190500</xdr:colOff>
                    <xdr:row>17</xdr:row>
                    <xdr:rowOff>171450</xdr:rowOff>
                  </from>
                  <to>
                    <xdr:col>9</xdr:col>
                    <xdr:colOff>495300</xdr:colOff>
                    <xdr:row>19</xdr:row>
                    <xdr:rowOff>9525</xdr:rowOff>
                  </to>
                </anchor>
              </controlPr>
            </control>
          </mc:Choice>
        </mc:AlternateContent>
        <mc:AlternateContent xmlns:mc="http://schemas.openxmlformats.org/markup-compatibility/2006">
          <mc:Choice Requires="x14">
            <control shapeId="167955" r:id="rId11" name="Check Box 19">
              <controlPr defaultSize="0" autoFill="0" autoLine="0" autoPict="0">
                <anchor moveWithCells="1">
                  <from>
                    <xdr:col>4</xdr:col>
                    <xdr:colOff>190500</xdr:colOff>
                    <xdr:row>20</xdr:row>
                    <xdr:rowOff>171450</xdr:rowOff>
                  </from>
                  <to>
                    <xdr:col>4</xdr:col>
                    <xdr:colOff>495300</xdr:colOff>
                    <xdr:row>22</xdr:row>
                    <xdr:rowOff>9525</xdr:rowOff>
                  </to>
                </anchor>
              </controlPr>
            </control>
          </mc:Choice>
        </mc:AlternateContent>
        <mc:AlternateContent xmlns:mc="http://schemas.openxmlformats.org/markup-compatibility/2006">
          <mc:Choice Requires="x14">
            <control shapeId="167956" r:id="rId12" name="Check Box 20">
              <controlPr defaultSize="0" autoFill="0" autoLine="0" autoPict="0">
                <anchor moveWithCells="1">
                  <from>
                    <xdr:col>9</xdr:col>
                    <xdr:colOff>190500</xdr:colOff>
                    <xdr:row>20</xdr:row>
                    <xdr:rowOff>171450</xdr:rowOff>
                  </from>
                  <to>
                    <xdr:col>9</xdr:col>
                    <xdr:colOff>495300</xdr:colOff>
                    <xdr:row>22</xdr:row>
                    <xdr:rowOff>9525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L100"/>
  <sheetViews>
    <sheetView showRowColHeaders="0" zoomScaleNormal="100" workbookViewId="0">
      <selection activeCell="D58" sqref="D58:G61"/>
    </sheetView>
  </sheetViews>
  <sheetFormatPr defaultColWidth="0" defaultRowHeight="15" customHeight="1" zeroHeight="1" x14ac:dyDescent="0.25"/>
  <cols>
    <col min="1" max="1" width="4.7109375" style="42" customWidth="1"/>
    <col min="2" max="3" width="16.7109375" style="42" customWidth="1"/>
    <col min="4" max="4" width="14" style="42" customWidth="1"/>
    <col min="5" max="6" width="7.42578125" style="42" customWidth="1"/>
    <col min="7" max="7" width="14" style="42" customWidth="1"/>
    <col min="8" max="8" width="4.7109375" style="42" customWidth="1"/>
    <col min="9" max="10" width="9.140625" style="42" hidden="1" customWidth="1"/>
    <col min="11" max="12" width="0" style="42" hidden="1" customWidth="1"/>
    <col min="13" max="16384" width="9.140625" style="42" hidden="1"/>
  </cols>
  <sheetData>
    <row r="1" spans="1:10" ht="36" customHeight="1" x14ac:dyDescent="0.5">
      <c r="A1" s="1335" t="s">
        <v>1750</v>
      </c>
      <c r="B1" s="1335"/>
      <c r="C1" s="1335"/>
      <c r="D1" s="1335"/>
      <c r="E1" s="1335"/>
      <c r="F1" s="1335"/>
      <c r="G1" s="928"/>
      <c r="H1" s="41"/>
      <c r="I1" s="41"/>
      <c r="J1" s="41"/>
    </row>
    <row r="2" spans="1:10" ht="30" customHeight="1" x14ac:dyDescent="0.25">
      <c r="A2" s="929"/>
      <c r="B2" s="41"/>
      <c r="C2" s="41"/>
      <c r="D2" s="41"/>
      <c r="E2" s="41"/>
      <c r="F2" s="41"/>
      <c r="G2" s="41"/>
      <c r="H2" s="41"/>
      <c r="I2" s="41"/>
      <c r="J2" s="41"/>
    </row>
    <row r="3" spans="1:10" ht="27" customHeight="1" x14ac:dyDescent="0.25">
      <c r="A3" s="1334" t="s">
        <v>1751</v>
      </c>
      <c r="B3" s="1334"/>
      <c r="C3" s="1334"/>
      <c r="D3" s="1334"/>
      <c r="E3" s="1334"/>
      <c r="F3" s="1334"/>
      <c r="G3" s="41"/>
      <c r="H3" s="41"/>
      <c r="I3" s="41"/>
      <c r="J3" s="41"/>
    </row>
    <row r="4" spans="1:10" ht="27" customHeight="1" thickBot="1" x14ac:dyDescent="0.3">
      <c r="A4" s="41"/>
      <c r="B4" s="41"/>
      <c r="C4" s="41"/>
      <c r="D4" s="41"/>
      <c r="E4" s="41"/>
      <c r="F4" s="41"/>
      <c r="G4" s="41"/>
      <c r="H4" s="41"/>
      <c r="I4" s="41"/>
      <c r="J4" s="41"/>
    </row>
    <row r="5" spans="1:10" ht="27" customHeight="1" thickBot="1" x14ac:dyDescent="0.3">
      <c r="A5" s="41"/>
      <c r="B5" s="1273" t="s">
        <v>1752</v>
      </c>
      <c r="C5" s="1274"/>
      <c r="D5" s="1274"/>
      <c r="E5" s="1274"/>
      <c r="F5" s="1274"/>
      <c r="G5" s="1275"/>
      <c r="H5" s="41"/>
      <c r="I5" s="41"/>
      <c r="J5" s="41"/>
    </row>
    <row r="6" spans="1:10" ht="27" customHeight="1" x14ac:dyDescent="0.25">
      <c r="A6" s="41"/>
      <c r="B6" s="1276" t="s">
        <v>1753</v>
      </c>
      <c r="C6" s="1277"/>
      <c r="D6" s="1278"/>
      <c r="E6" s="1278"/>
      <c r="F6" s="1278"/>
      <c r="G6" s="1279"/>
      <c r="H6" s="41"/>
      <c r="I6" s="41"/>
      <c r="J6" s="41"/>
    </row>
    <row r="7" spans="1:10" ht="36" customHeight="1" x14ac:dyDescent="0.25">
      <c r="A7" s="41"/>
      <c r="B7" s="1280" t="s">
        <v>1754</v>
      </c>
      <c r="C7" s="1281"/>
      <c r="D7" s="1282"/>
      <c r="E7" s="1282"/>
      <c r="F7" s="1282"/>
      <c r="G7" s="1283"/>
      <c r="H7" s="41"/>
      <c r="I7" s="41"/>
      <c r="J7" s="41"/>
    </row>
    <row r="8" spans="1:10" ht="27" customHeight="1" x14ac:dyDescent="0.25">
      <c r="A8" s="41"/>
      <c r="B8" s="1268" t="s">
        <v>1755</v>
      </c>
      <c r="C8" s="1269"/>
      <c r="D8" s="1270"/>
      <c r="E8" s="1271"/>
      <c r="F8" s="1271"/>
      <c r="G8" s="1272"/>
      <c r="H8" s="41"/>
      <c r="I8" s="41"/>
      <c r="J8" s="41"/>
    </row>
    <row r="9" spans="1:10" ht="24" customHeight="1" x14ac:dyDescent="0.25">
      <c r="A9" s="41"/>
      <c r="B9" s="1296" t="s">
        <v>1756</v>
      </c>
      <c r="C9" s="1297"/>
      <c r="D9" s="1336"/>
      <c r="E9" s="1337"/>
      <c r="F9" s="1337"/>
      <c r="G9" s="1338"/>
      <c r="H9" s="41"/>
      <c r="I9" s="41"/>
      <c r="J9" s="41"/>
    </row>
    <row r="10" spans="1:10" ht="24" customHeight="1" x14ac:dyDescent="0.25">
      <c r="A10" s="41"/>
      <c r="B10" s="1298"/>
      <c r="C10" s="1299"/>
      <c r="D10" s="1339"/>
      <c r="E10" s="1340"/>
      <c r="F10" s="1340"/>
      <c r="G10" s="1341"/>
      <c r="H10" s="41"/>
      <c r="I10" s="41"/>
      <c r="J10" s="41"/>
    </row>
    <row r="11" spans="1:10" ht="21" customHeight="1" x14ac:dyDescent="0.25">
      <c r="A11" s="41"/>
      <c r="B11" s="1296" t="s">
        <v>1789</v>
      </c>
      <c r="C11" s="1297"/>
      <c r="D11" s="1300"/>
      <c r="E11" s="1290"/>
      <c r="F11" s="1290"/>
      <c r="G11" s="1291"/>
      <c r="H11" s="41"/>
      <c r="I11" s="41"/>
      <c r="J11" s="41"/>
    </row>
    <row r="12" spans="1:10" ht="21" customHeight="1" x14ac:dyDescent="0.25">
      <c r="A12" s="41"/>
      <c r="B12" s="1298"/>
      <c r="C12" s="1299"/>
      <c r="D12" s="1301"/>
      <c r="E12" s="1294"/>
      <c r="F12" s="1294"/>
      <c r="G12" s="1295"/>
      <c r="H12" s="41"/>
      <c r="I12" s="41"/>
      <c r="J12" s="41"/>
    </row>
    <row r="13" spans="1:10" ht="27" customHeight="1" x14ac:dyDescent="0.25">
      <c r="A13" s="41"/>
      <c r="B13" s="1298" t="s">
        <v>1758</v>
      </c>
      <c r="C13" s="1299"/>
      <c r="D13" s="1284"/>
      <c r="E13" s="1285"/>
      <c r="F13" s="1285"/>
      <c r="G13" s="1286"/>
      <c r="H13" s="41"/>
      <c r="I13" s="41"/>
      <c r="J13" s="41"/>
    </row>
    <row r="14" spans="1:10" ht="27" customHeight="1" x14ac:dyDescent="0.25">
      <c r="A14" s="41"/>
      <c r="B14" s="1268" t="s">
        <v>1903</v>
      </c>
      <c r="C14" s="1269"/>
      <c r="D14" s="1284"/>
      <c r="E14" s="1285"/>
      <c r="F14" s="1285"/>
      <c r="G14" s="1286"/>
      <c r="H14" s="41"/>
      <c r="I14" s="41"/>
      <c r="J14" s="41"/>
    </row>
    <row r="15" spans="1:10" ht="33" customHeight="1" x14ac:dyDescent="0.25">
      <c r="A15" s="41"/>
      <c r="B15" s="1268" t="s">
        <v>1757</v>
      </c>
      <c r="C15" s="1287"/>
      <c r="D15" s="1287"/>
      <c r="E15" s="1287"/>
      <c r="F15" s="1287"/>
      <c r="G15" s="1288"/>
      <c r="H15" s="41"/>
      <c r="I15" s="41"/>
      <c r="J15" s="41"/>
    </row>
    <row r="16" spans="1:10" x14ac:dyDescent="0.25">
      <c r="A16" s="41"/>
      <c r="B16" s="1289"/>
      <c r="C16" s="1290"/>
      <c r="D16" s="1290"/>
      <c r="E16" s="1290"/>
      <c r="F16" s="1290"/>
      <c r="G16" s="1291"/>
      <c r="H16" s="41"/>
      <c r="I16" s="41"/>
      <c r="J16" s="41"/>
    </row>
    <row r="17" spans="1:10" x14ac:dyDescent="0.25">
      <c r="A17" s="41"/>
      <c r="B17" s="1292"/>
      <c r="C17" s="1282"/>
      <c r="D17" s="1282"/>
      <c r="E17" s="1282"/>
      <c r="F17" s="1282"/>
      <c r="G17" s="1283"/>
      <c r="H17" s="41"/>
      <c r="I17" s="41"/>
      <c r="J17" s="41"/>
    </row>
    <row r="18" spans="1:10" x14ac:dyDescent="0.25">
      <c r="A18" s="41"/>
      <c r="B18" s="1292"/>
      <c r="C18" s="1282"/>
      <c r="D18" s="1282"/>
      <c r="E18" s="1282"/>
      <c r="F18" s="1282"/>
      <c r="G18" s="1283"/>
      <c r="H18" s="41"/>
      <c r="I18" s="41"/>
      <c r="J18" s="41"/>
    </row>
    <row r="19" spans="1:10" x14ac:dyDescent="0.25">
      <c r="A19" s="41"/>
      <c r="B19" s="1292"/>
      <c r="C19" s="1282"/>
      <c r="D19" s="1282"/>
      <c r="E19" s="1282"/>
      <c r="F19" s="1282"/>
      <c r="G19" s="1283"/>
      <c r="H19" s="41"/>
      <c r="I19" s="41"/>
      <c r="J19" s="41"/>
    </row>
    <row r="20" spans="1:10" x14ac:dyDescent="0.25">
      <c r="A20" s="41"/>
      <c r="B20" s="1292"/>
      <c r="C20" s="1282"/>
      <c r="D20" s="1282"/>
      <c r="E20" s="1282"/>
      <c r="F20" s="1282"/>
      <c r="G20" s="1283"/>
      <c r="H20" s="41"/>
      <c r="I20" s="41"/>
      <c r="J20" s="41"/>
    </row>
    <row r="21" spans="1:10" x14ac:dyDescent="0.25">
      <c r="A21" s="41"/>
      <c r="B21" s="1292"/>
      <c r="C21" s="1282"/>
      <c r="D21" s="1282"/>
      <c r="E21" s="1282"/>
      <c r="F21" s="1282"/>
      <c r="G21" s="1283"/>
      <c r="H21" s="41"/>
      <c r="I21" s="41"/>
      <c r="J21" s="41"/>
    </row>
    <row r="22" spans="1:10" x14ac:dyDescent="0.25">
      <c r="A22" s="41"/>
      <c r="B22" s="1292"/>
      <c r="C22" s="1282"/>
      <c r="D22" s="1282"/>
      <c r="E22" s="1282"/>
      <c r="F22" s="1282"/>
      <c r="G22" s="1283"/>
      <c r="H22" s="41"/>
      <c r="I22" s="41"/>
      <c r="J22" s="41"/>
    </row>
    <row r="23" spans="1:10" x14ac:dyDescent="0.25">
      <c r="A23" s="41"/>
      <c r="B23" s="1293"/>
      <c r="C23" s="1294"/>
      <c r="D23" s="1294"/>
      <c r="E23" s="1294"/>
      <c r="F23" s="1294"/>
      <c r="G23" s="1295"/>
      <c r="H23" s="41"/>
      <c r="I23" s="41"/>
      <c r="J23" s="41"/>
    </row>
    <row r="24" spans="1:10" ht="27" customHeight="1" x14ac:dyDescent="0.25">
      <c r="A24" s="41"/>
      <c r="B24" s="1268" t="s">
        <v>1759</v>
      </c>
      <c r="C24" s="1269"/>
      <c r="D24" s="1302"/>
      <c r="E24" s="1302"/>
      <c r="F24" s="1302"/>
      <c r="G24" s="1303"/>
      <c r="H24" s="41"/>
      <c r="I24" s="41"/>
      <c r="J24" s="41"/>
    </row>
    <row r="25" spans="1:10" ht="27" customHeight="1" x14ac:dyDescent="0.25">
      <c r="A25" s="41"/>
      <c r="B25" s="1298" t="s">
        <v>1760</v>
      </c>
      <c r="C25" s="1299"/>
      <c r="D25" s="1304"/>
      <c r="E25" s="1305"/>
      <c r="F25" s="1305"/>
      <c r="G25" s="1306"/>
      <c r="H25" s="41"/>
      <c r="I25" s="41"/>
      <c r="J25" s="41"/>
    </row>
    <row r="26" spans="1:10" ht="27" customHeight="1" x14ac:dyDescent="0.25">
      <c r="A26" s="41"/>
      <c r="B26" s="1268" t="s">
        <v>1761</v>
      </c>
      <c r="C26" s="1269"/>
      <c r="D26" s="1307" t="s">
        <v>129</v>
      </c>
      <c r="E26" s="1308"/>
      <c r="F26" s="1308"/>
      <c r="G26" s="1309"/>
      <c r="H26" s="41"/>
      <c r="I26" s="41"/>
      <c r="J26" s="41"/>
    </row>
    <row r="27" spans="1:10" ht="27" customHeight="1" thickBot="1" x14ac:dyDescent="0.3">
      <c r="A27" s="41"/>
      <c r="B27" s="1296" t="s">
        <v>1762</v>
      </c>
      <c r="C27" s="1310"/>
      <c r="D27" s="1311" t="s">
        <v>129</v>
      </c>
      <c r="E27" s="1312"/>
      <c r="F27" s="1312"/>
      <c r="G27" s="1313"/>
      <c r="H27" s="41"/>
      <c r="I27" s="41"/>
      <c r="J27" s="41"/>
    </row>
    <row r="28" spans="1:10" ht="21" customHeight="1" thickBot="1" x14ac:dyDescent="0.3">
      <c r="A28" s="41"/>
      <c r="B28" s="41"/>
      <c r="C28" s="41"/>
      <c r="D28" s="41"/>
      <c r="E28" s="41"/>
      <c r="F28" s="41"/>
      <c r="G28" s="41"/>
      <c r="H28" s="41"/>
      <c r="I28" s="41"/>
      <c r="J28" s="41"/>
    </row>
    <row r="29" spans="1:10" ht="24" customHeight="1" thickBot="1" x14ac:dyDescent="0.3">
      <c r="A29" s="41"/>
      <c r="B29" s="1273" t="s">
        <v>1763</v>
      </c>
      <c r="C29" s="1274"/>
      <c r="D29" s="1274"/>
      <c r="E29" s="1274"/>
      <c r="F29" s="1274"/>
      <c r="G29" s="1275"/>
      <c r="H29" s="41"/>
      <c r="I29" s="41"/>
      <c r="J29" s="41"/>
    </row>
    <row r="30" spans="1:10" ht="21" customHeight="1" x14ac:dyDescent="0.25">
      <c r="A30" s="41"/>
      <c r="B30" s="1276" t="s">
        <v>269</v>
      </c>
      <c r="C30" s="1314"/>
      <c r="D30" s="1315"/>
      <c r="E30" s="1278"/>
      <c r="F30" s="1278"/>
      <c r="G30" s="1279"/>
      <c r="H30" s="41"/>
      <c r="I30" s="41"/>
      <c r="J30" s="41"/>
    </row>
    <row r="31" spans="1:10" ht="33" customHeight="1" x14ac:dyDescent="0.25">
      <c r="A31" s="41"/>
      <c r="B31" s="1316" t="s">
        <v>1766</v>
      </c>
      <c r="C31" s="1316"/>
      <c r="D31" s="1317"/>
      <c r="E31" s="1317"/>
      <c r="F31" s="1317"/>
      <c r="G31" s="1317"/>
      <c r="H31" s="41"/>
      <c r="I31" s="41"/>
      <c r="J31" s="41"/>
    </row>
    <row r="32" spans="1:10" ht="21" customHeight="1" x14ac:dyDescent="0.25">
      <c r="A32" s="41"/>
      <c r="B32" s="1316" t="s">
        <v>1764</v>
      </c>
      <c r="C32" s="1316"/>
      <c r="D32" s="1318"/>
      <c r="E32" s="1318"/>
      <c r="F32" s="1318"/>
      <c r="G32" s="1318"/>
      <c r="H32" s="41"/>
      <c r="I32" s="41"/>
      <c r="J32" s="41"/>
    </row>
    <row r="33" spans="1:10" ht="21" customHeight="1" x14ac:dyDescent="0.25">
      <c r="A33" s="41"/>
      <c r="B33" s="1316" t="s">
        <v>1765</v>
      </c>
      <c r="C33" s="1316"/>
      <c r="D33" s="1318"/>
      <c r="E33" s="1318"/>
      <c r="F33" s="1318"/>
      <c r="G33" s="1318"/>
      <c r="H33" s="41"/>
      <c r="I33" s="41"/>
      <c r="J33" s="41"/>
    </row>
    <row r="34" spans="1:10" ht="21" customHeight="1" x14ac:dyDescent="0.25">
      <c r="A34" s="41"/>
      <c r="B34" s="1316" t="s">
        <v>1767</v>
      </c>
      <c r="C34" s="1316"/>
      <c r="D34" s="1318"/>
      <c r="E34" s="1318"/>
      <c r="F34" s="1318"/>
      <c r="G34" s="1318"/>
      <c r="H34" s="41"/>
      <c r="I34" s="41"/>
      <c r="J34" s="41"/>
    </row>
    <row r="35" spans="1:10" ht="13.5" customHeight="1" x14ac:dyDescent="0.25">
      <c r="A35" s="41"/>
      <c r="B35" s="41"/>
      <c r="C35" s="41"/>
      <c r="D35" s="41"/>
      <c r="E35" s="41"/>
      <c r="F35" s="41"/>
      <c r="G35" s="41"/>
      <c r="H35" s="41"/>
      <c r="I35" s="41"/>
      <c r="J35" s="41"/>
    </row>
    <row r="36" spans="1:10" ht="13.5" customHeight="1" thickBot="1" x14ac:dyDescent="0.3">
      <c r="A36" s="41"/>
      <c r="B36" s="41"/>
      <c r="C36" s="41"/>
      <c r="D36" s="41"/>
      <c r="E36" s="41"/>
      <c r="F36" s="41"/>
      <c r="G36" s="41"/>
      <c r="H36" s="41"/>
      <c r="I36" s="41"/>
      <c r="J36" s="41"/>
    </row>
    <row r="37" spans="1:10" ht="24" customHeight="1" thickBot="1" x14ac:dyDescent="0.3">
      <c r="A37" s="41"/>
      <c r="B37" s="1273" t="s">
        <v>1790</v>
      </c>
      <c r="C37" s="1274"/>
      <c r="D37" s="1274"/>
      <c r="E37" s="1274"/>
      <c r="F37" s="1274"/>
      <c r="G37" s="1275"/>
      <c r="H37" s="41"/>
      <c r="I37" s="41"/>
      <c r="J37" s="41"/>
    </row>
    <row r="38" spans="1:10" ht="21" customHeight="1" x14ac:dyDescent="0.25">
      <c r="A38" s="41"/>
      <c r="B38" s="1276" t="s">
        <v>269</v>
      </c>
      <c r="C38" s="1314"/>
      <c r="D38" s="1319"/>
      <c r="E38" s="1320"/>
      <c r="F38" s="1320"/>
      <c r="G38" s="1321"/>
      <c r="H38" s="41"/>
      <c r="I38" s="41"/>
      <c r="J38" s="41"/>
    </row>
    <row r="39" spans="1:10" ht="21" customHeight="1" x14ac:dyDescent="0.25">
      <c r="A39" s="41"/>
      <c r="B39" s="1316" t="s">
        <v>752</v>
      </c>
      <c r="C39" s="1316"/>
      <c r="D39" s="1322"/>
      <c r="E39" s="1322"/>
      <c r="F39" s="1322"/>
      <c r="G39" s="1322"/>
      <c r="H39" s="41"/>
      <c r="I39" s="41"/>
      <c r="J39" s="41"/>
    </row>
    <row r="40" spans="1:10" ht="21" customHeight="1" x14ac:dyDescent="0.25">
      <c r="A40" s="41"/>
      <c r="B40" s="1316" t="s">
        <v>1769</v>
      </c>
      <c r="C40" s="1316"/>
      <c r="D40" s="1322"/>
      <c r="E40" s="1322"/>
      <c r="F40" s="1322"/>
      <c r="G40" s="1322"/>
      <c r="H40" s="41"/>
      <c r="I40" s="41"/>
      <c r="J40" s="41"/>
    </row>
    <row r="41" spans="1:10" ht="33" customHeight="1" x14ac:dyDescent="0.25">
      <c r="A41" s="41"/>
      <c r="B41" s="1316" t="s">
        <v>1766</v>
      </c>
      <c r="C41" s="1316"/>
      <c r="D41" s="1322"/>
      <c r="E41" s="1322"/>
      <c r="F41" s="1322"/>
      <c r="G41" s="1322"/>
      <c r="H41" s="41"/>
      <c r="I41" s="41"/>
      <c r="J41" s="41"/>
    </row>
    <row r="42" spans="1:10" ht="21" customHeight="1" x14ac:dyDescent="0.25">
      <c r="A42" s="41"/>
      <c r="B42" s="1316" t="s">
        <v>1764</v>
      </c>
      <c r="C42" s="1316"/>
      <c r="D42" s="1322"/>
      <c r="E42" s="1322"/>
      <c r="F42" s="1322"/>
      <c r="G42" s="1322"/>
      <c r="H42" s="41"/>
      <c r="I42" s="41"/>
      <c r="J42" s="41"/>
    </row>
    <row r="43" spans="1:10" ht="21" customHeight="1" x14ac:dyDescent="0.25">
      <c r="A43" s="41"/>
      <c r="B43" s="1316" t="s">
        <v>1765</v>
      </c>
      <c r="C43" s="1316"/>
      <c r="D43" s="1322"/>
      <c r="E43" s="1322"/>
      <c r="F43" s="1322"/>
      <c r="G43" s="1322"/>
      <c r="H43" s="41"/>
      <c r="I43" s="41"/>
      <c r="J43" s="41"/>
    </row>
    <row r="44" spans="1:10" ht="21" customHeight="1" x14ac:dyDescent="0.25">
      <c r="A44" s="41"/>
      <c r="B44" s="1316" t="s">
        <v>1767</v>
      </c>
      <c r="C44" s="1316"/>
      <c r="D44" s="1322"/>
      <c r="E44" s="1322"/>
      <c r="F44" s="1322"/>
      <c r="G44" s="1322"/>
      <c r="H44" s="41"/>
      <c r="I44" s="41"/>
      <c r="J44" s="41"/>
    </row>
    <row r="45" spans="1:10" ht="24" customHeight="1" x14ac:dyDescent="0.25">
      <c r="A45" s="41"/>
      <c r="B45" s="1326" t="s">
        <v>1768</v>
      </c>
      <c r="C45" s="1326"/>
      <c r="D45" s="1326"/>
      <c r="E45" s="1326"/>
      <c r="F45" s="1326"/>
      <c r="G45" s="1326"/>
      <c r="H45" s="41"/>
      <c r="I45" s="41"/>
      <c r="J45" s="41"/>
    </row>
    <row r="46" spans="1:10" ht="24" customHeight="1" x14ac:dyDescent="0.25">
      <c r="A46" s="41"/>
      <c r="B46" s="1326"/>
      <c r="C46" s="1326"/>
      <c r="D46" s="1326"/>
      <c r="E46" s="1326"/>
      <c r="F46" s="1326"/>
      <c r="G46" s="1326"/>
      <c r="H46" s="41"/>
      <c r="I46" s="41"/>
      <c r="J46" s="41"/>
    </row>
    <row r="47" spans="1:10" ht="13.5" customHeight="1" x14ac:dyDescent="0.25">
      <c r="A47" s="41"/>
      <c r="B47" s="41"/>
      <c r="C47" s="41"/>
      <c r="D47" s="41"/>
      <c r="E47" s="41"/>
      <c r="F47" s="41"/>
      <c r="G47" s="41"/>
      <c r="H47" s="41"/>
      <c r="I47" s="41"/>
      <c r="J47" s="41"/>
    </row>
    <row r="48" spans="1:10" ht="13.5" customHeight="1" thickBot="1" x14ac:dyDescent="0.3">
      <c r="A48" s="41"/>
      <c r="B48" s="41"/>
      <c r="C48" s="41"/>
      <c r="D48" s="41"/>
      <c r="E48" s="41"/>
      <c r="F48" s="41"/>
      <c r="G48" s="41"/>
      <c r="H48" s="41"/>
      <c r="I48" s="41"/>
      <c r="J48" s="41"/>
    </row>
    <row r="49" spans="1:10" ht="24" customHeight="1" thickBot="1" x14ac:dyDescent="0.3">
      <c r="A49" s="41"/>
      <c r="B49" s="1273" t="s">
        <v>1770</v>
      </c>
      <c r="C49" s="1274"/>
      <c r="D49" s="1274"/>
      <c r="E49" s="1274"/>
      <c r="F49" s="1274"/>
      <c r="G49" s="1275"/>
      <c r="H49" s="41"/>
      <c r="I49" s="41"/>
      <c r="J49" s="41"/>
    </row>
    <row r="50" spans="1:10" ht="30" customHeight="1" x14ac:dyDescent="0.25">
      <c r="A50" s="41"/>
      <c r="B50" s="1327" t="s">
        <v>1771</v>
      </c>
      <c r="C50" s="1328"/>
      <c r="D50" s="1328"/>
      <c r="E50" s="1328"/>
      <c r="F50" s="1328"/>
      <c r="G50" s="1329"/>
      <c r="H50" s="41"/>
      <c r="I50" s="41"/>
      <c r="J50" s="41"/>
    </row>
    <row r="51" spans="1:10" ht="30" customHeight="1" x14ac:dyDescent="0.25">
      <c r="A51" s="41"/>
      <c r="B51" s="1330" t="s">
        <v>1772</v>
      </c>
      <c r="C51" s="1330"/>
      <c r="D51" s="1330"/>
      <c r="E51" s="1330"/>
      <c r="F51" s="1330"/>
      <c r="G51" s="966" t="s">
        <v>129</v>
      </c>
      <c r="H51" s="41"/>
      <c r="I51" s="41"/>
      <c r="J51" s="41"/>
    </row>
    <row r="52" spans="1:10" ht="62.25" customHeight="1" x14ac:dyDescent="0.25">
      <c r="A52" s="41"/>
      <c r="B52" s="1330" t="s">
        <v>1773</v>
      </c>
      <c r="C52" s="1330"/>
      <c r="D52" s="1330"/>
      <c r="E52" s="1330"/>
      <c r="F52" s="1330"/>
      <c r="G52" s="969" t="s">
        <v>129</v>
      </c>
      <c r="H52" s="41"/>
      <c r="I52" s="41"/>
      <c r="J52" s="41"/>
    </row>
    <row r="53" spans="1:10" ht="60" customHeight="1" x14ac:dyDescent="0.25">
      <c r="A53" s="41"/>
      <c r="B53" s="1330" t="s">
        <v>1774</v>
      </c>
      <c r="C53" s="1330"/>
      <c r="D53" s="1330"/>
      <c r="E53" s="1330"/>
      <c r="F53" s="1330"/>
      <c r="G53" s="969" t="s">
        <v>129</v>
      </c>
      <c r="H53" s="41"/>
      <c r="I53" s="41"/>
      <c r="J53" s="41"/>
    </row>
    <row r="54" spans="1:10" ht="13.5" customHeight="1" x14ac:dyDescent="0.25">
      <c r="A54" s="41"/>
      <c r="B54" s="41"/>
      <c r="C54" s="41"/>
      <c r="D54" s="41"/>
      <c r="E54" s="41"/>
      <c r="F54" s="41"/>
      <c r="G54" s="41"/>
      <c r="H54" s="41"/>
      <c r="I54" s="41"/>
      <c r="J54" s="41"/>
    </row>
    <row r="55" spans="1:10" ht="13.5" customHeight="1" thickBot="1" x14ac:dyDescent="0.3">
      <c r="A55" s="41"/>
      <c r="B55" s="41"/>
      <c r="C55" s="41"/>
      <c r="D55" s="41"/>
      <c r="E55" s="41"/>
      <c r="F55" s="41"/>
      <c r="G55" s="41"/>
      <c r="H55" s="41"/>
      <c r="I55" s="41"/>
      <c r="J55" s="41"/>
    </row>
    <row r="56" spans="1:10" ht="24" customHeight="1" thickBot="1" x14ac:dyDescent="0.3">
      <c r="A56" s="41"/>
      <c r="B56" s="1273" t="s">
        <v>1775</v>
      </c>
      <c r="C56" s="1274"/>
      <c r="D56" s="1274"/>
      <c r="E56" s="1274"/>
      <c r="F56" s="1274"/>
      <c r="G56" s="1275"/>
      <c r="H56" s="41"/>
      <c r="I56" s="41"/>
      <c r="J56" s="41"/>
    </row>
    <row r="57" spans="1:10" ht="29.25" customHeight="1" x14ac:dyDescent="0.25">
      <c r="A57" s="41"/>
      <c r="B57" s="1276" t="s">
        <v>1776</v>
      </c>
      <c r="C57" s="1314"/>
      <c r="D57" s="1323" t="s">
        <v>1791</v>
      </c>
      <c r="E57" s="1324"/>
      <c r="F57" s="1324"/>
      <c r="G57" s="1325"/>
      <c r="H57" s="930"/>
      <c r="I57" s="41"/>
      <c r="J57" s="41"/>
    </row>
    <row r="58" spans="1:10" x14ac:dyDescent="0.25">
      <c r="A58" s="41"/>
      <c r="B58" s="1322"/>
      <c r="C58" s="1322"/>
      <c r="D58" s="1331"/>
      <c r="E58" s="1331"/>
      <c r="F58" s="1331"/>
      <c r="G58" s="1331"/>
      <c r="H58" s="41"/>
      <c r="I58" s="41"/>
      <c r="J58" s="41"/>
    </row>
    <row r="59" spans="1:10" x14ac:dyDescent="0.25">
      <c r="A59" s="41"/>
      <c r="B59" s="1322"/>
      <c r="C59" s="1322"/>
      <c r="D59" s="1331"/>
      <c r="E59" s="1331"/>
      <c r="F59" s="1331"/>
      <c r="G59" s="1331"/>
      <c r="H59" s="41"/>
      <c r="I59" s="41"/>
      <c r="J59" s="41"/>
    </row>
    <row r="60" spans="1:10" x14ac:dyDescent="0.25">
      <c r="A60" s="41"/>
      <c r="B60" s="1322"/>
      <c r="C60" s="1322"/>
      <c r="D60" s="1331"/>
      <c r="E60" s="1331"/>
      <c r="F60" s="1331"/>
      <c r="G60" s="1331"/>
      <c r="H60" s="41"/>
      <c r="I60" s="41"/>
      <c r="J60" s="41"/>
    </row>
    <row r="61" spans="1:10" x14ac:dyDescent="0.25">
      <c r="A61" s="41"/>
      <c r="B61" s="1322"/>
      <c r="C61" s="1322"/>
      <c r="D61" s="1331"/>
      <c r="E61" s="1331"/>
      <c r="F61" s="1331"/>
      <c r="G61" s="1331"/>
      <c r="H61" s="41"/>
      <c r="I61" s="41"/>
      <c r="J61" s="41"/>
    </row>
    <row r="62" spans="1:10" ht="21" customHeight="1" x14ac:dyDescent="0.25">
      <c r="A62" s="41"/>
      <c r="B62" s="1316" t="s">
        <v>267</v>
      </c>
      <c r="C62" s="1316"/>
      <c r="D62" s="1318"/>
      <c r="E62" s="1318"/>
      <c r="F62" s="1318"/>
      <c r="G62" s="1318"/>
      <c r="H62" s="41"/>
      <c r="I62" s="41"/>
      <c r="J62" s="41"/>
    </row>
    <row r="63" spans="1:10" ht="21" customHeight="1" x14ac:dyDescent="0.25">
      <c r="A63" s="41"/>
      <c r="B63" s="1316" t="s">
        <v>269</v>
      </c>
      <c r="C63" s="1316"/>
      <c r="D63" s="1318"/>
      <c r="E63" s="1318"/>
      <c r="F63" s="1318"/>
      <c r="G63" s="1318"/>
      <c r="H63" s="41"/>
      <c r="I63" s="41"/>
      <c r="J63" s="41"/>
    </row>
    <row r="64" spans="1:10" ht="21" customHeight="1" x14ac:dyDescent="0.25">
      <c r="A64" s="41"/>
      <c r="B64" s="1316" t="s">
        <v>752</v>
      </c>
      <c r="C64" s="1316"/>
      <c r="D64" s="1318"/>
      <c r="E64" s="1318"/>
      <c r="F64" s="1318"/>
      <c r="G64" s="1318"/>
      <c r="H64" s="41"/>
      <c r="I64" s="41"/>
      <c r="J64" s="41"/>
    </row>
    <row r="65" spans="1:10" ht="21" customHeight="1" x14ac:dyDescent="0.25">
      <c r="A65" s="41"/>
      <c r="B65" s="1316" t="s">
        <v>1792</v>
      </c>
      <c r="C65" s="1316"/>
      <c r="D65" s="1318"/>
      <c r="E65" s="1318"/>
      <c r="F65" s="1318"/>
      <c r="G65" s="1318"/>
      <c r="H65" s="41"/>
      <c r="I65" s="41"/>
      <c r="J65" s="41"/>
    </row>
    <row r="66" spans="1:10" ht="33" customHeight="1" x14ac:dyDescent="0.25">
      <c r="A66" s="41"/>
      <c r="B66" s="1316" t="s">
        <v>1777</v>
      </c>
      <c r="C66" s="1316"/>
      <c r="D66" s="1322"/>
      <c r="E66" s="1322"/>
      <c r="F66" s="1322"/>
      <c r="G66" s="1322"/>
      <c r="H66" s="41"/>
      <c r="I66" s="41"/>
      <c r="J66" s="41"/>
    </row>
    <row r="67" spans="1:10" x14ac:dyDescent="0.25">
      <c r="A67" s="41"/>
      <c r="B67" s="41"/>
      <c r="C67" s="41"/>
      <c r="D67" s="41"/>
      <c r="E67" s="41"/>
      <c r="F67" s="41"/>
      <c r="G67" s="41"/>
      <c r="H67" s="41"/>
      <c r="I67" s="41"/>
      <c r="J67" s="41"/>
    </row>
    <row r="68" spans="1:10" x14ac:dyDescent="0.25">
      <c r="A68" s="41"/>
      <c r="B68" s="41"/>
      <c r="C68" s="41"/>
      <c r="D68" s="41"/>
      <c r="E68" s="41"/>
      <c r="F68" s="41"/>
      <c r="G68" s="41"/>
      <c r="H68" s="41"/>
      <c r="I68" s="41"/>
      <c r="J68" s="41"/>
    </row>
    <row r="69" spans="1:10" ht="21" customHeight="1" x14ac:dyDescent="0.25">
      <c r="A69" s="41"/>
      <c r="B69" s="1349" t="s">
        <v>1784</v>
      </c>
      <c r="C69" s="1350"/>
      <c r="D69" s="1350"/>
      <c r="E69" s="1350"/>
      <c r="F69" s="1350"/>
      <c r="G69" s="1351"/>
      <c r="H69" s="41"/>
      <c r="I69" s="41"/>
      <c r="J69" s="41"/>
    </row>
    <row r="70" spans="1:10" ht="18" customHeight="1" x14ac:dyDescent="0.25">
      <c r="A70" s="41"/>
      <c r="B70" s="1352" t="s">
        <v>1785</v>
      </c>
      <c r="C70" s="1353"/>
      <c r="D70" s="1353"/>
      <c r="E70" s="1353"/>
      <c r="F70" s="1353"/>
      <c r="G70" s="1354"/>
      <c r="H70" s="41"/>
      <c r="I70" s="41"/>
      <c r="J70" s="41"/>
    </row>
    <row r="71" spans="1:10" ht="30" customHeight="1" x14ac:dyDescent="0.25">
      <c r="A71" s="41"/>
      <c r="B71" s="1352" t="s">
        <v>2439</v>
      </c>
      <c r="C71" s="1353"/>
      <c r="D71" s="1353"/>
      <c r="E71" s="1353"/>
      <c r="F71" s="1353"/>
      <c r="G71" s="1354"/>
      <c r="H71" s="41"/>
      <c r="I71" s="41"/>
      <c r="J71" s="41"/>
    </row>
    <row r="72" spans="1:10" ht="21" customHeight="1" x14ac:dyDescent="0.25">
      <c r="A72" s="41"/>
      <c r="B72" s="1355" t="s">
        <v>1749</v>
      </c>
      <c r="C72" s="1356"/>
      <c r="D72" s="1356"/>
      <c r="E72" s="1356"/>
      <c r="F72" s="1356"/>
      <c r="G72" s="1357"/>
      <c r="H72" s="41"/>
      <c r="I72" s="41"/>
      <c r="J72" s="41"/>
    </row>
    <row r="73" spans="1:10" x14ac:dyDescent="0.25">
      <c r="A73" s="41"/>
      <c r="B73" s="41"/>
      <c r="C73" s="41"/>
      <c r="D73" s="41"/>
      <c r="E73" s="41"/>
      <c r="F73" s="41"/>
      <c r="G73" s="41"/>
      <c r="H73" s="41"/>
      <c r="I73" s="41"/>
      <c r="J73" s="41"/>
    </row>
    <row r="74" spans="1:10" x14ac:dyDescent="0.25">
      <c r="A74" s="41"/>
      <c r="B74" s="41"/>
      <c r="C74" s="41"/>
      <c r="D74" s="41"/>
      <c r="E74" s="41"/>
      <c r="F74" s="41"/>
      <c r="G74" s="41"/>
      <c r="H74" s="41"/>
      <c r="I74" s="41"/>
      <c r="J74" s="41"/>
    </row>
    <row r="75" spans="1:10" ht="18" customHeight="1" x14ac:dyDescent="0.25">
      <c r="A75" s="41"/>
      <c r="B75" s="1358" t="s">
        <v>1780</v>
      </c>
      <c r="C75" s="1358"/>
      <c r="D75" s="1358"/>
      <c r="E75" s="1358"/>
      <c r="F75" s="1358"/>
      <c r="G75" s="1358"/>
      <c r="H75" s="41"/>
      <c r="I75" s="41"/>
      <c r="J75" s="41"/>
    </row>
    <row r="76" spans="1:10" ht="33.75" customHeight="1" x14ac:dyDescent="0.25">
      <c r="A76" s="41"/>
      <c r="B76" s="1332" t="s">
        <v>1781</v>
      </c>
      <c r="C76" s="1332"/>
      <c r="D76" s="1332"/>
      <c r="E76" s="1332"/>
      <c r="F76" s="1332"/>
      <c r="G76" s="1332"/>
      <c r="H76" s="41"/>
      <c r="I76" s="41"/>
      <c r="J76" s="41"/>
    </row>
    <row r="77" spans="1:10" ht="58.5" customHeight="1" x14ac:dyDescent="0.25">
      <c r="A77" s="41"/>
      <c r="B77" s="1332" t="s">
        <v>1782</v>
      </c>
      <c r="C77" s="1332"/>
      <c r="D77" s="1332"/>
      <c r="E77" s="1332"/>
      <c r="F77" s="1332"/>
      <c r="G77" s="1332"/>
      <c r="H77" s="41"/>
      <c r="I77" s="41"/>
      <c r="J77" s="41"/>
    </row>
    <row r="78" spans="1:10" ht="31.5" customHeight="1" x14ac:dyDescent="0.25">
      <c r="A78" s="41"/>
      <c r="B78" s="1332" t="s">
        <v>1783</v>
      </c>
      <c r="C78" s="1332"/>
      <c r="D78" s="1332"/>
      <c r="E78" s="1332"/>
      <c r="F78" s="1332"/>
      <c r="G78" s="1332"/>
      <c r="H78" s="41"/>
      <c r="I78" s="41"/>
      <c r="J78" s="41"/>
    </row>
    <row r="79" spans="1:10" x14ac:dyDescent="0.25">
      <c r="A79" s="41"/>
      <c r="B79" s="41"/>
      <c r="C79" s="41"/>
      <c r="D79" s="41"/>
      <c r="E79" s="41"/>
      <c r="F79" s="41"/>
      <c r="G79" s="41"/>
      <c r="H79" s="41"/>
      <c r="I79" s="41"/>
      <c r="J79" s="41"/>
    </row>
    <row r="80" spans="1:10" ht="21" customHeight="1" thickBot="1" x14ac:dyDescent="0.3">
      <c r="A80" s="41"/>
      <c r="B80" s="1342" t="s">
        <v>1825</v>
      </c>
      <c r="C80" s="1343"/>
      <c r="D80" s="1343"/>
      <c r="E80" s="1343"/>
      <c r="F80" s="1343"/>
      <c r="G80" s="1343"/>
      <c r="H80" s="41"/>
      <c r="I80" s="41"/>
      <c r="J80" s="41"/>
    </row>
    <row r="81" spans="1:12" ht="21" customHeight="1" thickBot="1" x14ac:dyDescent="0.3">
      <c r="A81" s="41"/>
      <c r="B81" s="1344" t="s">
        <v>1778</v>
      </c>
      <c r="C81" s="1345"/>
      <c r="D81" s="1346"/>
      <c r="E81" s="1347"/>
      <c r="F81" s="1347"/>
      <c r="G81" s="1348"/>
      <c r="H81" s="41"/>
      <c r="I81" s="41"/>
      <c r="J81" s="41"/>
    </row>
    <row r="82" spans="1:12" ht="21" customHeight="1" thickBot="1" x14ac:dyDescent="0.3">
      <c r="A82" s="41"/>
      <c r="B82" s="1344" t="s">
        <v>1779</v>
      </c>
      <c r="C82" s="1345"/>
      <c r="D82" s="1346"/>
      <c r="E82" s="1347"/>
      <c r="F82" s="1347"/>
      <c r="G82" s="1348"/>
      <c r="I82" s="41"/>
      <c r="J82" s="41"/>
    </row>
    <row r="83" spans="1:12" x14ac:dyDescent="0.25">
      <c r="A83" s="41"/>
      <c r="B83" s="41"/>
      <c r="C83" s="41"/>
      <c r="D83" s="41"/>
      <c r="E83" s="41"/>
      <c r="F83" s="41"/>
      <c r="G83" s="41"/>
      <c r="H83" s="41"/>
      <c r="I83" s="41"/>
      <c r="J83" s="41"/>
    </row>
    <row r="84" spans="1:12" x14ac:dyDescent="0.25">
      <c r="A84" s="41"/>
      <c r="B84" s="41"/>
      <c r="C84" s="41"/>
      <c r="D84" s="41"/>
      <c r="E84" s="41"/>
      <c r="F84" s="41"/>
      <c r="G84" s="41"/>
      <c r="H84" s="41"/>
      <c r="I84" s="41"/>
      <c r="J84" s="41"/>
    </row>
    <row r="85" spans="1:12" hidden="1" x14ac:dyDescent="0.25"/>
    <row r="86" spans="1:12" hidden="1" x14ac:dyDescent="0.25">
      <c r="K86" s="1333"/>
      <c r="L86" s="1333"/>
    </row>
    <row r="87" spans="1:12" hidden="1" x14ac:dyDescent="0.25"/>
    <row r="88" spans="1:12" hidden="1" x14ac:dyDescent="0.25"/>
    <row r="89" spans="1:12" hidden="1" x14ac:dyDescent="0.25"/>
    <row r="90" spans="1:12" ht="15" hidden="1" customHeight="1" x14ac:dyDescent="0.25"/>
    <row r="91" spans="1:12" ht="15" hidden="1" customHeight="1" x14ac:dyDescent="0.25"/>
    <row r="92" spans="1:12" ht="15" hidden="1" customHeight="1" x14ac:dyDescent="0.25"/>
    <row r="93" spans="1:12" ht="15" hidden="1" customHeight="1" x14ac:dyDescent="0.25"/>
    <row r="94" spans="1:12" ht="15" hidden="1" customHeight="1" x14ac:dyDescent="0.25"/>
    <row r="95" spans="1:12" ht="15" hidden="1" customHeight="1" x14ac:dyDescent="0.25"/>
    <row r="96" spans="1:12" ht="15" hidden="1" customHeight="1" x14ac:dyDescent="0.25"/>
    <row r="97" ht="15" hidden="1" customHeight="1" x14ac:dyDescent="0.25"/>
    <row r="98" ht="15" hidden="1" customHeight="1" x14ac:dyDescent="0.25"/>
    <row r="99" ht="15" hidden="1" customHeight="1" x14ac:dyDescent="0.25"/>
    <row r="100" ht="15" hidden="1" customHeight="1" x14ac:dyDescent="0.25"/>
  </sheetData>
  <sheetProtection algorithmName="SHA-512" hashValue="Gl4ccrkFNsgrCo4O6VLyEFBAH6iRiQuy5HQ2EBbLRNR/J9pDok0lqjNEhx4KjqVsQ8P55vuFcbZyjXtXsq1JwQ==" saltValue="NpG9MACbhtp7PXtIbY7qtg==" spinCount="100000" sheet="1" objects="1" scenarios="1"/>
  <mergeCells count="88">
    <mergeCell ref="K86:L86"/>
    <mergeCell ref="A3:F3"/>
    <mergeCell ref="A1:F1"/>
    <mergeCell ref="D9:G10"/>
    <mergeCell ref="B77:G77"/>
    <mergeCell ref="B78:G78"/>
    <mergeCell ref="B80:G80"/>
    <mergeCell ref="B81:C81"/>
    <mergeCell ref="D81:G81"/>
    <mergeCell ref="B82:C82"/>
    <mergeCell ref="D82:G82"/>
    <mergeCell ref="B69:G69"/>
    <mergeCell ref="B70:G70"/>
    <mergeCell ref="B71:G71"/>
    <mergeCell ref="B72:G72"/>
    <mergeCell ref="B75:G75"/>
    <mergeCell ref="B76:G76"/>
    <mergeCell ref="B64:C64"/>
    <mergeCell ref="D64:G64"/>
    <mergeCell ref="B65:C65"/>
    <mergeCell ref="D65:G65"/>
    <mergeCell ref="B66:C66"/>
    <mergeCell ref="D66:G66"/>
    <mergeCell ref="B58:C61"/>
    <mergeCell ref="D58:G61"/>
    <mergeCell ref="B62:C62"/>
    <mergeCell ref="D62:G62"/>
    <mergeCell ref="B63:C63"/>
    <mergeCell ref="D63:G63"/>
    <mergeCell ref="B57:C57"/>
    <mergeCell ref="D57:G57"/>
    <mergeCell ref="B43:C43"/>
    <mergeCell ref="D43:G43"/>
    <mergeCell ref="B44:C44"/>
    <mergeCell ref="D44:G44"/>
    <mergeCell ref="B45:G46"/>
    <mergeCell ref="B49:G49"/>
    <mergeCell ref="B50:G50"/>
    <mergeCell ref="B51:F51"/>
    <mergeCell ref="B52:F52"/>
    <mergeCell ref="B53:F53"/>
    <mergeCell ref="B56:G56"/>
    <mergeCell ref="B40:C40"/>
    <mergeCell ref="D40:G40"/>
    <mergeCell ref="B41:C41"/>
    <mergeCell ref="D41:G41"/>
    <mergeCell ref="B42:C42"/>
    <mergeCell ref="D42:G42"/>
    <mergeCell ref="B39:C39"/>
    <mergeCell ref="B31:C31"/>
    <mergeCell ref="D31:G31"/>
    <mergeCell ref="B32:C32"/>
    <mergeCell ref="D32:G32"/>
    <mergeCell ref="B33:C33"/>
    <mergeCell ref="D33:G33"/>
    <mergeCell ref="B34:C34"/>
    <mergeCell ref="D34:G34"/>
    <mergeCell ref="B37:G37"/>
    <mergeCell ref="B38:C38"/>
    <mergeCell ref="D38:G38"/>
    <mergeCell ref="D39:G39"/>
    <mergeCell ref="B27:C27"/>
    <mergeCell ref="D27:G27"/>
    <mergeCell ref="B29:G29"/>
    <mergeCell ref="B30:C30"/>
    <mergeCell ref="D30:G30"/>
    <mergeCell ref="B24:C24"/>
    <mergeCell ref="D24:G24"/>
    <mergeCell ref="B25:C25"/>
    <mergeCell ref="D25:G25"/>
    <mergeCell ref="B26:C26"/>
    <mergeCell ref="D26:G26"/>
    <mergeCell ref="B14:C14"/>
    <mergeCell ref="D14:G14"/>
    <mergeCell ref="B15:G15"/>
    <mergeCell ref="B16:G23"/>
    <mergeCell ref="B9:C10"/>
    <mergeCell ref="B11:C12"/>
    <mergeCell ref="D11:G12"/>
    <mergeCell ref="B13:C13"/>
    <mergeCell ref="D13:G13"/>
    <mergeCell ref="B8:C8"/>
    <mergeCell ref="D8:G8"/>
    <mergeCell ref="B5:G5"/>
    <mergeCell ref="B6:C6"/>
    <mergeCell ref="D6:G6"/>
    <mergeCell ref="B7:C7"/>
    <mergeCell ref="D7:G7"/>
  </mergeCells>
  <dataValidations count="5">
    <dataValidation allowBlank="1" showInputMessage="1" showErrorMessage="1" prompt="Also, describe if there is a basement._x000a__x000a_Đồng thời, mô tả về các tầng hầm (nếu có)" sqref="D13:G13"/>
    <dataValidation allowBlank="1" showInputMessage="1" showErrorMessage="1" prompt="Such as: villa, terraced house, rural house, dwelling-unit, etc." sqref="D8:G8"/>
    <dataValidation allowBlank="1" showInputMessage="1" showErrorMessage="1" prompt="New construction, renovation, extension, etc.?" sqref="D9:G10"/>
    <dataValidation type="list" allowBlank="1" showInputMessage="1" showErrorMessage="1" sqref="D27:G27 G51:G53">
      <formula1>"Select,Yes,No"</formula1>
    </dataValidation>
    <dataValidation type="list" allowBlank="1" showInputMessage="1" showErrorMessage="1" sqref="D26:G26">
      <formula1>"Select,Certified,Silver,Gold,Platinum"</formula1>
    </dataValidation>
  </dataValidations>
  <pageMargins left="0.7" right="0.7" top="0.75" bottom="0.75" header="0.3" footer="0.3"/>
  <pageSetup paperSize="9" orientation="portrait" horizontalDpi="300" verticalDpi="0" r:id="rId1"/>
  <rowBreaks count="2" manualBreakCount="2">
    <brk id="28" max="16383" man="1"/>
    <brk id="55"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36"/>
  <sheetViews>
    <sheetView showRowColHeaders="0" workbookViewId="0">
      <selection activeCell="J5" sqref="J5"/>
    </sheetView>
  </sheetViews>
  <sheetFormatPr defaultColWidth="0" defaultRowHeight="15" zeroHeight="1" x14ac:dyDescent="0.25"/>
  <cols>
    <col min="1" max="1" width="3.7109375" customWidth="1"/>
    <col min="2" max="2" width="9.7109375" customWidth="1"/>
    <col min="3" max="3" width="9.140625" customWidth="1"/>
    <col min="4" max="4" width="10" customWidth="1"/>
    <col min="5" max="10" width="9.140625" customWidth="1"/>
    <col min="11" max="11" width="11.7109375" customWidth="1"/>
    <col min="12" max="15" width="9.140625" customWidth="1"/>
    <col min="16" max="16" width="9.140625" hidden="1" customWidth="1"/>
    <col min="17" max="16384" width="9.140625" hidden="1"/>
  </cols>
  <sheetData>
    <row r="1" spans="1:16" ht="30" customHeight="1" x14ac:dyDescent="0.25">
      <c r="A1" s="1207" t="s">
        <v>975</v>
      </c>
      <c r="B1" s="1207"/>
      <c r="C1" s="1207"/>
      <c r="D1" s="1207"/>
      <c r="E1" s="1207"/>
      <c r="F1" s="1207"/>
      <c r="G1" s="1207"/>
      <c r="H1" s="1207"/>
      <c r="I1" s="1207"/>
      <c r="J1" s="1207"/>
      <c r="K1" s="1207"/>
      <c r="L1" s="1207"/>
      <c r="M1" s="1207"/>
      <c r="N1" s="1207"/>
      <c r="O1" s="1207"/>
      <c r="P1" s="44"/>
    </row>
    <row r="2" spans="1:16" ht="18" customHeight="1" x14ac:dyDescent="0.25">
      <c r="A2" s="626"/>
      <c r="B2" s="1359" t="s">
        <v>2437</v>
      </c>
      <c r="C2" s="1359"/>
      <c r="D2" s="1359"/>
      <c r="E2" s="1359"/>
      <c r="F2" s="1359"/>
      <c r="G2" s="1359"/>
      <c r="H2" s="1359"/>
      <c r="I2" s="1359"/>
      <c r="J2" s="1359"/>
      <c r="K2" s="1359"/>
      <c r="L2" s="1359"/>
      <c r="M2" s="1359"/>
      <c r="N2" s="1359"/>
      <c r="O2" s="1359"/>
      <c r="P2" s="134"/>
    </row>
    <row r="3" spans="1:16" ht="18" customHeight="1" x14ac:dyDescent="0.25">
      <c r="A3" s="626"/>
      <c r="B3" s="1359"/>
      <c r="C3" s="1359"/>
      <c r="D3" s="1359"/>
      <c r="E3" s="1359"/>
      <c r="F3" s="1359"/>
      <c r="G3" s="1359"/>
      <c r="H3" s="1359"/>
      <c r="I3" s="1359"/>
      <c r="J3" s="1359"/>
      <c r="K3" s="1359"/>
      <c r="L3" s="1359"/>
      <c r="M3" s="1359"/>
      <c r="N3" s="1359"/>
      <c r="O3" s="1359"/>
      <c r="P3" s="134"/>
    </row>
    <row r="4" spans="1:16" ht="15" customHeight="1" x14ac:dyDescent="0.25">
      <c r="A4" s="523"/>
      <c r="B4" s="523"/>
      <c r="C4" s="523"/>
      <c r="D4" s="523"/>
      <c r="E4" s="523"/>
      <c r="F4" s="523"/>
      <c r="G4" s="523"/>
      <c r="H4" s="523"/>
      <c r="I4" s="523"/>
      <c r="J4" s="523"/>
      <c r="K4" s="523"/>
      <c r="L4" s="13"/>
      <c r="M4" s="13"/>
      <c r="N4" s="13"/>
      <c r="O4" s="13"/>
      <c r="P4" s="13"/>
    </row>
    <row r="5" spans="1:16" ht="18" customHeight="1" x14ac:dyDescent="0.25">
      <c r="A5" s="1204" t="s">
        <v>969</v>
      </c>
      <c r="B5" s="1204"/>
      <c r="C5" s="1204"/>
      <c r="D5" s="1204"/>
      <c r="E5" s="523"/>
      <c r="F5" s="523"/>
      <c r="G5" s="523"/>
      <c r="H5" s="523"/>
      <c r="I5" s="523"/>
      <c r="J5" s="523"/>
      <c r="K5" s="523"/>
      <c r="L5" s="13"/>
      <c r="M5" s="13"/>
      <c r="N5" s="13"/>
      <c r="O5" s="13"/>
      <c r="P5" s="13"/>
    </row>
    <row r="6" spans="1:16" x14ac:dyDescent="0.25">
      <c r="A6" s="523"/>
      <c r="B6" s="523"/>
      <c r="C6" s="523"/>
      <c r="D6" s="523"/>
      <c r="E6" s="523"/>
      <c r="F6" s="523"/>
      <c r="G6" s="523"/>
      <c r="H6" s="523"/>
      <c r="I6" s="523"/>
      <c r="J6" s="523"/>
      <c r="K6" s="523"/>
      <c r="L6" s="13"/>
      <c r="M6" s="13"/>
      <c r="N6" s="13"/>
      <c r="O6" s="13"/>
      <c r="P6" s="13"/>
    </row>
    <row r="7" spans="1:16" ht="18" customHeight="1" x14ac:dyDescent="0.25">
      <c r="A7" s="523"/>
      <c r="B7" s="522">
        <v>1</v>
      </c>
      <c r="C7" s="1361" t="s">
        <v>2402</v>
      </c>
      <c r="D7" s="1362"/>
      <c r="E7" s="1362"/>
      <c r="F7" s="1362"/>
      <c r="G7" s="1362"/>
      <c r="H7" s="1362"/>
      <c r="I7" s="1362"/>
      <c r="J7" s="1362"/>
      <c r="K7" s="1363"/>
      <c r="L7" s="1360" t="s">
        <v>974</v>
      </c>
      <c r="M7" s="1360"/>
      <c r="N7" s="13"/>
      <c r="O7" s="13"/>
      <c r="P7" s="13"/>
    </row>
    <row r="8" spans="1:16" ht="18" customHeight="1" x14ac:dyDescent="0.25">
      <c r="A8" s="523"/>
      <c r="B8" s="522">
        <v>2</v>
      </c>
      <c r="C8" s="1361" t="s">
        <v>2403</v>
      </c>
      <c r="D8" s="1362"/>
      <c r="E8" s="1362"/>
      <c r="F8" s="1362"/>
      <c r="G8" s="1362"/>
      <c r="H8" s="1362"/>
      <c r="I8" s="1362"/>
      <c r="J8" s="1362"/>
      <c r="K8" s="1363"/>
      <c r="L8" s="1360" t="s">
        <v>974</v>
      </c>
      <c r="M8" s="1360"/>
      <c r="N8" s="13"/>
      <c r="O8" s="13"/>
      <c r="P8" s="13"/>
    </row>
    <row r="9" spans="1:16" ht="18" customHeight="1" x14ac:dyDescent="0.25">
      <c r="A9" s="523"/>
      <c r="B9" s="523"/>
      <c r="C9" s="523"/>
      <c r="D9" s="523"/>
      <c r="E9" s="523"/>
      <c r="F9" s="523"/>
      <c r="G9" s="523"/>
      <c r="H9" s="523"/>
      <c r="I9" s="523"/>
      <c r="J9" s="523"/>
      <c r="K9" s="523"/>
      <c r="L9" s="13"/>
      <c r="M9" s="13"/>
      <c r="N9" s="13"/>
      <c r="O9" s="13"/>
      <c r="P9" s="13"/>
    </row>
    <row r="10" spans="1:16" ht="18" customHeight="1" x14ac:dyDescent="0.25">
      <c r="A10" s="1204" t="s">
        <v>970</v>
      </c>
      <c r="B10" s="1204"/>
      <c r="C10" s="1204"/>
      <c r="D10" s="1204"/>
      <c r="E10" s="523"/>
      <c r="F10" s="523"/>
      <c r="G10" s="523"/>
      <c r="H10" s="523"/>
      <c r="I10" s="523"/>
      <c r="J10" s="523"/>
      <c r="K10" s="523"/>
      <c r="L10" s="13"/>
      <c r="M10" s="13"/>
      <c r="N10" s="13"/>
      <c r="O10" s="13"/>
      <c r="P10" s="13"/>
    </row>
    <row r="11" spans="1:16" ht="15" customHeight="1" x14ac:dyDescent="0.25">
      <c r="A11" s="523"/>
      <c r="B11" s="523"/>
      <c r="C11" s="523"/>
      <c r="D11" s="523"/>
      <c r="E11" s="523"/>
      <c r="F11" s="523"/>
      <c r="G11" s="523"/>
      <c r="H11" s="523"/>
      <c r="I11" s="523"/>
      <c r="J11" s="523"/>
      <c r="K11" s="523"/>
      <c r="L11" s="13"/>
      <c r="M11" s="13"/>
      <c r="N11" s="13"/>
      <c r="O11" s="13"/>
      <c r="P11" s="13"/>
    </row>
    <row r="12" spans="1:16" x14ac:dyDescent="0.25">
      <c r="A12" s="523"/>
      <c r="B12" s="523" t="s">
        <v>1216</v>
      </c>
      <c r="C12" s="523"/>
      <c r="D12" s="523"/>
      <c r="E12" s="523"/>
      <c r="F12" s="523"/>
      <c r="G12" s="523"/>
      <c r="H12" s="523"/>
      <c r="I12" s="523"/>
      <c r="J12" s="523"/>
      <c r="K12" s="523"/>
      <c r="L12" s="13"/>
      <c r="M12" s="13"/>
      <c r="N12" s="13"/>
      <c r="O12" s="13"/>
      <c r="P12" s="13"/>
    </row>
    <row r="13" spans="1:16" ht="16.5" customHeight="1" x14ac:dyDescent="0.25">
      <c r="A13" s="523"/>
      <c r="B13" s="522">
        <v>1</v>
      </c>
      <c r="C13" s="1361" t="s">
        <v>1211</v>
      </c>
      <c r="D13" s="1362"/>
      <c r="E13" s="1362"/>
      <c r="F13" s="1362"/>
      <c r="G13" s="1362"/>
      <c r="H13" s="1362"/>
      <c r="I13" s="1362"/>
      <c r="J13" s="1362"/>
      <c r="K13" s="1363"/>
      <c r="L13" s="1360" t="s">
        <v>974</v>
      </c>
      <c r="M13" s="1360"/>
      <c r="N13" s="13"/>
      <c r="O13" s="13"/>
      <c r="P13" s="13"/>
    </row>
    <row r="14" spans="1:16" ht="16.5" customHeight="1" x14ac:dyDescent="0.25">
      <c r="A14" s="523"/>
      <c r="B14" s="522">
        <v>2</v>
      </c>
      <c r="C14" s="1361" t="s">
        <v>1212</v>
      </c>
      <c r="D14" s="1362"/>
      <c r="E14" s="1362"/>
      <c r="F14" s="1362"/>
      <c r="G14" s="1362"/>
      <c r="H14" s="1362"/>
      <c r="I14" s="1362"/>
      <c r="J14" s="1362"/>
      <c r="K14" s="1363"/>
      <c r="L14" s="1360" t="s">
        <v>974</v>
      </c>
      <c r="M14" s="1360"/>
      <c r="N14" s="13"/>
      <c r="O14" s="13"/>
      <c r="P14" s="13"/>
    </row>
    <row r="15" spans="1:16" ht="42.75" customHeight="1" x14ac:dyDescent="0.25">
      <c r="A15" s="523"/>
      <c r="B15" s="522">
        <v>3</v>
      </c>
      <c r="C15" s="1364" t="s">
        <v>973</v>
      </c>
      <c r="D15" s="1365"/>
      <c r="E15" s="1365"/>
      <c r="F15" s="1365"/>
      <c r="G15" s="1365"/>
      <c r="H15" s="1365"/>
      <c r="I15" s="1365"/>
      <c r="J15" s="1365"/>
      <c r="K15" s="1366"/>
      <c r="L15" s="1360" t="s">
        <v>974</v>
      </c>
      <c r="M15" s="1360"/>
      <c r="N15" s="13"/>
      <c r="O15" s="13"/>
      <c r="P15" s="13"/>
    </row>
    <row r="16" spans="1:16" ht="15" customHeight="1" x14ac:dyDescent="0.25">
      <c r="A16" s="523"/>
      <c r="B16" s="523"/>
      <c r="C16" s="523"/>
      <c r="D16" s="523"/>
      <c r="E16" s="523"/>
      <c r="F16" s="523"/>
      <c r="G16" s="523"/>
      <c r="H16" s="523"/>
      <c r="I16" s="523"/>
      <c r="J16" s="523"/>
      <c r="K16" s="523"/>
      <c r="L16" s="13"/>
      <c r="M16" s="13"/>
      <c r="N16" s="13"/>
      <c r="O16" s="13"/>
      <c r="P16" s="13"/>
    </row>
    <row r="17" spans="1:16" ht="18" customHeight="1" x14ac:dyDescent="0.25">
      <c r="A17" s="523"/>
      <c r="B17" s="523" t="s">
        <v>976</v>
      </c>
      <c r="C17" s="523"/>
      <c r="D17" s="523"/>
      <c r="E17" s="523"/>
      <c r="F17" s="523"/>
      <c r="G17" s="523"/>
      <c r="H17" s="523"/>
      <c r="I17" s="523"/>
      <c r="J17" s="523"/>
      <c r="K17" s="523"/>
      <c r="L17" s="13"/>
      <c r="M17" s="13"/>
      <c r="N17" s="13"/>
      <c r="O17" s="13"/>
      <c r="P17" s="13"/>
    </row>
    <row r="18" spans="1:16" ht="18" customHeight="1" x14ac:dyDescent="0.25">
      <c r="A18" s="523"/>
      <c r="B18" s="522">
        <v>1</v>
      </c>
      <c r="C18" s="1364" t="s">
        <v>1213</v>
      </c>
      <c r="D18" s="1365"/>
      <c r="E18" s="1365"/>
      <c r="F18" s="1365"/>
      <c r="G18" s="1365"/>
      <c r="H18" s="1365"/>
      <c r="I18" s="1365"/>
      <c r="J18" s="1365"/>
      <c r="K18" s="1366"/>
      <c r="L18" s="1360" t="s">
        <v>974</v>
      </c>
      <c r="M18" s="1360"/>
      <c r="N18" s="13"/>
      <c r="O18" s="13"/>
      <c r="P18" s="13"/>
    </row>
    <row r="19" spans="1:16" ht="18" customHeight="1" x14ac:dyDescent="0.25">
      <c r="A19" s="523"/>
      <c r="B19" s="523"/>
      <c r="C19" s="523"/>
      <c r="D19" s="523"/>
      <c r="E19" s="523"/>
      <c r="F19" s="523"/>
      <c r="G19" s="523"/>
      <c r="H19" s="523"/>
      <c r="I19" s="523"/>
      <c r="J19" s="523"/>
      <c r="K19" s="523"/>
      <c r="L19" s="13"/>
      <c r="M19" s="13"/>
      <c r="N19" s="13"/>
      <c r="O19" s="13"/>
      <c r="P19" s="13"/>
    </row>
    <row r="20" spans="1:16" ht="18" customHeight="1" x14ac:dyDescent="0.25">
      <c r="A20" s="1204" t="s">
        <v>971</v>
      </c>
      <c r="B20" s="1204"/>
      <c r="C20" s="1204"/>
      <c r="D20" s="1204"/>
      <c r="E20" s="523"/>
      <c r="F20" s="523"/>
      <c r="G20" s="523"/>
      <c r="H20" s="523"/>
      <c r="I20" s="523"/>
      <c r="J20" s="523"/>
      <c r="K20" s="523"/>
      <c r="L20" s="13"/>
      <c r="M20" s="13"/>
      <c r="N20" s="13"/>
      <c r="O20" s="13"/>
      <c r="P20" s="13"/>
    </row>
    <row r="21" spans="1:16" x14ac:dyDescent="0.25">
      <c r="A21" s="523"/>
      <c r="B21" s="523"/>
      <c r="C21" s="523"/>
      <c r="D21" s="523"/>
      <c r="E21" s="523"/>
      <c r="F21" s="523"/>
      <c r="G21" s="523"/>
      <c r="H21" s="523"/>
      <c r="I21" s="523"/>
      <c r="J21" s="523"/>
      <c r="K21" s="523"/>
      <c r="L21" s="13"/>
      <c r="M21" s="13"/>
      <c r="N21" s="13"/>
      <c r="O21" s="13"/>
      <c r="P21" s="13"/>
    </row>
    <row r="22" spans="1:16" ht="16.5" customHeight="1" x14ac:dyDescent="0.25">
      <c r="A22" s="523"/>
      <c r="B22" s="522">
        <v>1</v>
      </c>
      <c r="C22" s="1361" t="s">
        <v>972</v>
      </c>
      <c r="D22" s="1362"/>
      <c r="E22" s="1362"/>
      <c r="F22" s="1362"/>
      <c r="G22" s="1362"/>
      <c r="H22" s="1362"/>
      <c r="I22" s="1362"/>
      <c r="J22" s="1362"/>
      <c r="K22" s="1363"/>
      <c r="L22" s="1360" t="s">
        <v>974</v>
      </c>
      <c r="M22" s="1360"/>
      <c r="N22" s="13"/>
      <c r="O22" s="13"/>
      <c r="P22" s="13"/>
    </row>
    <row r="23" spans="1:16" x14ac:dyDescent="0.25">
      <c r="A23" s="523"/>
      <c r="B23" s="523"/>
      <c r="C23" s="523"/>
      <c r="D23" s="523"/>
      <c r="E23" s="523"/>
      <c r="F23" s="523"/>
      <c r="G23" s="523"/>
      <c r="H23" s="523"/>
      <c r="I23" s="523"/>
      <c r="J23" s="523"/>
      <c r="K23" s="523"/>
      <c r="L23" s="13"/>
      <c r="M23" s="13"/>
      <c r="N23" s="13"/>
      <c r="O23" s="13"/>
      <c r="P23" s="13"/>
    </row>
    <row r="24" spans="1:16" x14ac:dyDescent="0.25">
      <c r="A24" s="523"/>
      <c r="B24" s="523"/>
      <c r="C24" s="523"/>
      <c r="D24" s="523"/>
      <c r="E24" s="523"/>
      <c r="F24" s="523"/>
      <c r="G24" s="523"/>
      <c r="H24" s="523"/>
      <c r="I24" s="523"/>
      <c r="J24" s="523"/>
      <c r="K24" s="523"/>
      <c r="L24" s="13"/>
      <c r="M24" s="13"/>
      <c r="N24" s="13"/>
      <c r="O24" s="13"/>
      <c r="P24" s="13"/>
    </row>
    <row r="25" spans="1:16" hidden="1" x14ac:dyDescent="0.25">
      <c r="B25" s="523"/>
      <c r="C25" s="523"/>
      <c r="D25" s="523"/>
      <c r="E25" s="523"/>
      <c r="F25" s="523"/>
      <c r="G25" s="523"/>
      <c r="H25" s="523"/>
      <c r="I25" s="523"/>
      <c r="J25" s="523"/>
      <c r="K25" s="523"/>
      <c r="L25" s="13"/>
      <c r="M25" s="13"/>
      <c r="N25" s="13"/>
      <c r="O25" s="13"/>
      <c r="P25" s="13"/>
    </row>
    <row r="26" spans="1:16" hidden="1" x14ac:dyDescent="0.25">
      <c r="B26" s="523"/>
      <c r="C26" s="523"/>
      <c r="D26" s="523"/>
      <c r="E26" s="523"/>
      <c r="F26" s="523"/>
      <c r="G26" s="523"/>
      <c r="H26" s="523"/>
      <c r="I26" s="523"/>
      <c r="J26" s="523"/>
      <c r="K26" s="523"/>
      <c r="L26" s="13"/>
      <c r="M26" s="13"/>
      <c r="N26" s="13"/>
      <c r="O26" s="13"/>
      <c r="P26" s="13"/>
    </row>
    <row r="27" spans="1:16" hidden="1" x14ac:dyDescent="0.25">
      <c r="B27" s="18"/>
      <c r="C27" s="18"/>
      <c r="D27" s="18"/>
      <c r="E27" s="18"/>
      <c r="F27" s="18"/>
      <c r="G27" s="18"/>
      <c r="H27" s="18"/>
      <c r="I27" s="18"/>
      <c r="J27" s="18"/>
      <c r="K27" s="18"/>
      <c r="L27" s="14"/>
      <c r="M27" s="14"/>
      <c r="N27" s="14"/>
      <c r="O27" s="14"/>
      <c r="P27" s="14"/>
    </row>
    <row r="28" spans="1:16" hidden="1" x14ac:dyDescent="0.25">
      <c r="B28" s="18"/>
      <c r="C28" s="18"/>
      <c r="D28" s="18"/>
      <c r="E28" s="18"/>
      <c r="F28" s="18"/>
      <c r="G28" s="18"/>
      <c r="H28" s="18"/>
      <c r="I28" s="18"/>
      <c r="J28" s="18"/>
      <c r="K28" s="18"/>
      <c r="L28" s="14"/>
      <c r="M28" s="14"/>
      <c r="N28" s="14"/>
      <c r="O28" s="14"/>
      <c r="P28" s="14"/>
    </row>
    <row r="29" spans="1:16" hidden="1" x14ac:dyDescent="0.25">
      <c r="B29" s="14"/>
      <c r="C29" s="14"/>
      <c r="D29" s="14"/>
      <c r="E29" s="14"/>
      <c r="F29" s="14"/>
      <c r="G29" s="14"/>
      <c r="H29" s="14"/>
      <c r="I29" s="14"/>
      <c r="J29" s="14"/>
      <c r="K29" s="14"/>
      <c r="L29" s="14"/>
      <c r="M29" s="14"/>
      <c r="N29" s="14"/>
      <c r="O29" s="14"/>
      <c r="P29" s="14"/>
    </row>
    <row r="30" spans="1:16" hidden="1" x14ac:dyDescent="0.25">
      <c r="B30" s="14"/>
      <c r="C30" s="14"/>
      <c r="D30" s="14"/>
      <c r="E30" s="14"/>
      <c r="F30" s="14"/>
      <c r="G30" s="14"/>
      <c r="H30" s="14"/>
      <c r="I30" s="14"/>
      <c r="J30" s="14"/>
      <c r="K30" s="14"/>
      <c r="L30" s="14"/>
      <c r="M30" s="14"/>
      <c r="N30" s="14"/>
      <c r="O30" s="14"/>
      <c r="P30" s="14"/>
    </row>
    <row r="31" spans="1:16" hidden="1" x14ac:dyDescent="0.25">
      <c r="B31" s="14"/>
      <c r="C31" s="14"/>
      <c r="D31" s="14"/>
      <c r="E31" s="14"/>
      <c r="F31" s="14"/>
      <c r="G31" s="14"/>
      <c r="H31" s="14"/>
      <c r="I31" s="14"/>
      <c r="J31" s="14"/>
      <c r="K31" s="14"/>
      <c r="L31" s="14"/>
      <c r="M31" s="14"/>
      <c r="N31" s="14"/>
      <c r="O31" s="14"/>
      <c r="P31" s="14"/>
    </row>
    <row r="32" spans="1:16" hidden="1" x14ac:dyDescent="0.25">
      <c r="B32" s="14"/>
      <c r="C32" s="14"/>
      <c r="D32" s="14"/>
      <c r="E32" s="14"/>
      <c r="F32" s="14"/>
      <c r="G32" s="14"/>
      <c r="H32" s="14"/>
      <c r="I32" s="14"/>
      <c r="J32" s="14"/>
      <c r="K32" s="14"/>
      <c r="L32" s="14"/>
      <c r="M32" s="14"/>
      <c r="N32" s="14"/>
      <c r="O32" s="14"/>
      <c r="P32" s="14"/>
    </row>
    <row r="33" spans="2:16" hidden="1" x14ac:dyDescent="0.25">
      <c r="B33" s="14"/>
      <c r="C33" s="14"/>
      <c r="D33" s="14"/>
      <c r="E33" s="14"/>
      <c r="F33" s="14"/>
      <c r="G33" s="14"/>
      <c r="H33" s="14"/>
      <c r="I33" s="14"/>
      <c r="J33" s="14"/>
      <c r="K33" s="14"/>
      <c r="L33" s="14"/>
      <c r="M33" s="14"/>
      <c r="N33" s="14"/>
      <c r="O33" s="14"/>
      <c r="P33" s="14"/>
    </row>
    <row r="34" spans="2:16" hidden="1" x14ac:dyDescent="0.25">
      <c r="B34" s="14"/>
      <c r="C34" s="14"/>
      <c r="D34" s="14"/>
      <c r="E34" s="14"/>
      <c r="F34" s="14"/>
      <c r="G34" s="14"/>
      <c r="H34" s="14"/>
      <c r="I34" s="14"/>
      <c r="J34" s="14"/>
      <c r="K34" s="14"/>
      <c r="L34" s="14"/>
      <c r="M34" s="14"/>
      <c r="N34" s="14"/>
      <c r="O34" s="14"/>
      <c r="P34" s="14"/>
    </row>
    <row r="35" spans="2:16" hidden="1" x14ac:dyDescent="0.25"/>
    <row r="36" spans="2:16" hidden="1" x14ac:dyDescent="0.25"/>
  </sheetData>
  <sheetProtection algorithmName="SHA-512" hashValue="mbnAp9k6NTZ7giuYFCfZvA8g9P4IIcuDdSGiOyPrqSqShOFpTnjfMOanaFBeMATw/zNWWyzStYsFEdDCxFiIyA==" saltValue="fjJZgvtvG6fK+TVHRcKLEA==" spinCount="100000" sheet="1" objects="1" scenarios="1"/>
  <mergeCells count="19">
    <mergeCell ref="A10:D10"/>
    <mergeCell ref="A5:D5"/>
    <mergeCell ref="C15:K15"/>
    <mergeCell ref="L15:M15"/>
    <mergeCell ref="C22:K22"/>
    <mergeCell ref="L22:M22"/>
    <mergeCell ref="C13:K13"/>
    <mergeCell ref="C14:K14"/>
    <mergeCell ref="L14:M14"/>
    <mergeCell ref="L13:M13"/>
    <mergeCell ref="C18:K18"/>
    <mergeCell ref="L18:M18"/>
    <mergeCell ref="A20:D20"/>
    <mergeCell ref="A1:O1"/>
    <mergeCell ref="B2:O3"/>
    <mergeCell ref="L7:M7"/>
    <mergeCell ref="L8:M8"/>
    <mergeCell ref="C7:K7"/>
    <mergeCell ref="C8:K8"/>
  </mergeCells>
  <dataValidations count="1">
    <dataValidation type="list" allowBlank="1" showInputMessage="1" showErrorMessage="1" sqref="L7:M8 L13:M15 L18:M18 L22:M22">
      <formula1>"Please confirm,Yes,No"</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P50"/>
  <sheetViews>
    <sheetView showRowColHeaders="0" workbookViewId="0">
      <pane ySplit="3" topLeftCell="A4" activePane="bottomLeft" state="frozen"/>
      <selection pane="bottomLeft" activeCell="J6" sqref="J6"/>
    </sheetView>
  </sheetViews>
  <sheetFormatPr defaultColWidth="0" defaultRowHeight="15" customHeight="1" zeroHeight="1" x14ac:dyDescent="0.25"/>
  <cols>
    <col min="1" max="1" width="3.7109375" customWidth="1"/>
    <col min="2" max="2" width="9.7109375" customWidth="1"/>
    <col min="3" max="3" width="9.140625" customWidth="1"/>
    <col min="4" max="4" width="10" customWidth="1"/>
    <col min="5" max="10" width="9.140625" customWidth="1"/>
    <col min="11" max="11" width="11.7109375" customWidth="1"/>
    <col min="12" max="15" width="9.140625" customWidth="1"/>
    <col min="16" max="16" width="9.140625" hidden="1" customWidth="1"/>
    <col min="17" max="16384" width="9.140625" hidden="1"/>
  </cols>
  <sheetData>
    <row r="1" spans="1:16" ht="30" customHeight="1" x14ac:dyDescent="0.25">
      <c r="A1" s="1207" t="s">
        <v>1237</v>
      </c>
      <c r="B1" s="1207"/>
      <c r="C1" s="1207"/>
      <c r="D1" s="1207"/>
      <c r="E1" s="1207"/>
      <c r="F1" s="1207"/>
      <c r="G1" s="1207"/>
      <c r="H1" s="1207"/>
      <c r="I1" s="1207"/>
      <c r="J1" s="1207"/>
      <c r="K1" s="1207"/>
      <c r="L1" s="1207"/>
      <c r="M1" s="1207"/>
      <c r="N1" s="1207"/>
      <c r="O1" s="1207"/>
      <c r="P1" s="44"/>
    </row>
    <row r="2" spans="1:16" ht="18" customHeight="1" x14ac:dyDescent="0.25">
      <c r="A2" s="626"/>
      <c r="B2" s="1359" t="s">
        <v>2436</v>
      </c>
      <c r="C2" s="1359"/>
      <c r="D2" s="1359"/>
      <c r="E2" s="1359"/>
      <c r="F2" s="1359"/>
      <c r="G2" s="1359"/>
      <c r="H2" s="1359"/>
      <c r="I2" s="1359"/>
      <c r="J2" s="1359"/>
      <c r="K2" s="1359"/>
      <c r="L2" s="1359"/>
      <c r="M2" s="1359"/>
      <c r="N2" s="1359"/>
      <c r="O2" s="1359"/>
      <c r="P2" s="134"/>
    </row>
    <row r="3" spans="1:16" ht="18" customHeight="1" x14ac:dyDescent="0.25">
      <c r="A3" s="626"/>
      <c r="B3" s="1359"/>
      <c r="C3" s="1359"/>
      <c r="D3" s="1359"/>
      <c r="E3" s="1359"/>
      <c r="F3" s="1359"/>
      <c r="G3" s="1359"/>
      <c r="H3" s="1359"/>
      <c r="I3" s="1359"/>
      <c r="J3" s="1359"/>
      <c r="K3" s="1359"/>
      <c r="L3" s="1359"/>
      <c r="M3" s="1359"/>
      <c r="N3" s="1359"/>
      <c r="O3" s="1359"/>
      <c r="P3" s="134"/>
    </row>
    <row r="4" spans="1:16" ht="15" customHeight="1" x14ac:dyDescent="0.25">
      <c r="A4" s="523"/>
      <c r="B4" s="523"/>
      <c r="C4" s="523"/>
      <c r="D4" s="523"/>
      <c r="E4" s="523"/>
      <c r="F4" s="523"/>
      <c r="G4" s="523"/>
      <c r="H4" s="523"/>
      <c r="I4" s="523"/>
      <c r="J4" s="523"/>
      <c r="K4" s="523"/>
      <c r="L4" s="13"/>
      <c r="M4" s="13"/>
      <c r="N4" s="13"/>
      <c r="O4" s="13"/>
      <c r="P4" s="13"/>
    </row>
    <row r="5" spans="1:16" ht="18" customHeight="1" x14ac:dyDescent="0.25">
      <c r="A5" s="1204" t="s">
        <v>969</v>
      </c>
      <c r="B5" s="1204"/>
      <c r="C5" s="1204"/>
      <c r="D5" s="1204"/>
      <c r="E5" s="523"/>
      <c r="F5" s="523"/>
      <c r="G5" s="523"/>
      <c r="H5" s="523"/>
      <c r="I5" s="523"/>
      <c r="J5" s="523"/>
      <c r="K5" s="523"/>
      <c r="L5" s="13"/>
      <c r="M5" s="13"/>
      <c r="N5" s="13"/>
      <c r="O5" s="13"/>
      <c r="P5" s="13"/>
    </row>
    <row r="6" spans="1:16" x14ac:dyDescent="0.25">
      <c r="A6" s="523"/>
      <c r="B6" s="523"/>
      <c r="C6" s="523"/>
      <c r="D6" s="523"/>
      <c r="E6" s="523"/>
      <c r="F6" s="523"/>
      <c r="G6" s="523"/>
      <c r="H6" s="523"/>
      <c r="I6" s="523"/>
      <c r="J6" s="523"/>
      <c r="K6" s="523"/>
      <c r="L6" s="13"/>
      <c r="M6" s="13"/>
      <c r="N6" s="13"/>
      <c r="O6" s="13"/>
      <c r="P6" s="13"/>
    </row>
    <row r="7" spans="1:16" ht="18" customHeight="1" x14ac:dyDescent="0.25">
      <c r="A7" s="523"/>
      <c r="B7" s="522">
        <v>1</v>
      </c>
      <c r="C7" s="1361" t="s">
        <v>2402</v>
      </c>
      <c r="D7" s="1362"/>
      <c r="E7" s="1362"/>
      <c r="F7" s="1362"/>
      <c r="G7" s="1362"/>
      <c r="H7" s="1362"/>
      <c r="I7" s="1362"/>
      <c r="J7" s="1362"/>
      <c r="K7" s="1363"/>
      <c r="L7" s="1360" t="s">
        <v>974</v>
      </c>
      <c r="M7" s="1360"/>
      <c r="N7" s="13"/>
      <c r="O7" s="13"/>
      <c r="P7" s="13"/>
    </row>
    <row r="8" spans="1:16" ht="18" customHeight="1" x14ac:dyDescent="0.25">
      <c r="A8" s="523"/>
      <c r="B8" s="522">
        <v>2</v>
      </c>
      <c r="C8" s="1361" t="s">
        <v>2403</v>
      </c>
      <c r="D8" s="1362"/>
      <c r="E8" s="1362"/>
      <c r="F8" s="1362"/>
      <c r="G8" s="1362"/>
      <c r="H8" s="1362"/>
      <c r="I8" s="1362"/>
      <c r="J8" s="1362"/>
      <c r="K8" s="1363"/>
      <c r="L8" s="1360" t="s">
        <v>974</v>
      </c>
      <c r="M8" s="1360"/>
      <c r="N8" s="13"/>
      <c r="O8" s="13"/>
      <c r="P8" s="13"/>
    </row>
    <row r="9" spans="1:16" ht="18" customHeight="1" x14ac:dyDescent="0.25">
      <c r="A9" s="523"/>
      <c r="B9" s="522">
        <v>3</v>
      </c>
      <c r="C9" s="1361" t="s">
        <v>2404</v>
      </c>
      <c r="D9" s="1362"/>
      <c r="E9" s="1362"/>
      <c r="F9" s="1362"/>
      <c r="G9" s="1362"/>
      <c r="H9" s="1362"/>
      <c r="I9" s="1362"/>
      <c r="J9" s="1362"/>
      <c r="K9" s="1363"/>
      <c r="L9" s="1360" t="s">
        <v>974</v>
      </c>
      <c r="M9" s="1360"/>
      <c r="N9" s="13"/>
      <c r="O9" s="13"/>
      <c r="P9" s="13"/>
    </row>
    <row r="10" spans="1:16" ht="18" customHeight="1" x14ac:dyDescent="0.25">
      <c r="A10" s="523"/>
      <c r="B10" s="523"/>
      <c r="C10" s="523"/>
      <c r="D10" s="523"/>
      <c r="E10" s="523"/>
      <c r="F10" s="523"/>
      <c r="G10" s="523"/>
      <c r="H10" s="523"/>
      <c r="I10" s="523"/>
      <c r="J10" s="523"/>
      <c r="K10" s="523"/>
      <c r="L10" s="13"/>
      <c r="M10" s="13"/>
      <c r="N10" s="13"/>
      <c r="O10" s="13"/>
      <c r="P10" s="13"/>
    </row>
    <row r="11" spans="1:16" ht="18" customHeight="1" x14ac:dyDescent="0.25">
      <c r="A11" s="1204" t="s">
        <v>970</v>
      </c>
      <c r="B11" s="1204"/>
      <c r="C11" s="1204"/>
      <c r="D11" s="1204"/>
      <c r="E11" s="523"/>
      <c r="F11" s="523"/>
      <c r="G11" s="523"/>
      <c r="H11" s="523"/>
      <c r="I11" s="523"/>
      <c r="J11" s="523"/>
      <c r="K11" s="523"/>
      <c r="L11" s="13"/>
      <c r="M11" s="13"/>
      <c r="N11" s="13"/>
      <c r="O11" s="13"/>
      <c r="P11" s="13"/>
    </row>
    <row r="12" spans="1:16" ht="15" customHeight="1" x14ac:dyDescent="0.25">
      <c r="A12" s="523"/>
      <c r="B12" s="523"/>
      <c r="C12" s="523"/>
      <c r="D12" s="523"/>
      <c r="E12" s="523"/>
      <c r="F12" s="523"/>
      <c r="G12" s="523"/>
      <c r="H12" s="523"/>
      <c r="I12" s="523"/>
      <c r="J12" s="523"/>
      <c r="K12" s="523"/>
      <c r="L12" s="13"/>
      <c r="M12" s="13"/>
      <c r="N12" s="13"/>
      <c r="O12" s="13"/>
      <c r="P12" s="13"/>
    </row>
    <row r="13" spans="1:16" x14ac:dyDescent="0.25">
      <c r="A13" s="523"/>
      <c r="B13" s="523" t="s">
        <v>1217</v>
      </c>
      <c r="C13" s="523"/>
      <c r="D13" s="523"/>
      <c r="E13" s="523"/>
      <c r="F13" s="523"/>
      <c r="G13" s="523"/>
      <c r="H13" s="523"/>
      <c r="I13" s="523"/>
      <c r="J13" s="523"/>
      <c r="K13" s="523"/>
      <c r="L13" s="13"/>
      <c r="M13" s="13"/>
      <c r="N13" s="13"/>
      <c r="O13" s="13"/>
      <c r="P13" s="13"/>
    </row>
    <row r="14" spans="1:16" ht="16.5" customHeight="1" x14ac:dyDescent="0.25">
      <c r="A14" s="523"/>
      <c r="B14" s="522">
        <v>1</v>
      </c>
      <c r="C14" s="1361" t="s">
        <v>1214</v>
      </c>
      <c r="D14" s="1362"/>
      <c r="E14" s="1362"/>
      <c r="F14" s="1362"/>
      <c r="G14" s="1362"/>
      <c r="H14" s="1362"/>
      <c r="I14" s="1362"/>
      <c r="J14" s="1362"/>
      <c r="K14" s="1363"/>
      <c r="L14" s="1360" t="s">
        <v>974</v>
      </c>
      <c r="M14" s="1360"/>
      <c r="N14" s="13"/>
      <c r="O14" s="13"/>
      <c r="P14" s="13"/>
    </row>
    <row r="15" spans="1:16" ht="16.5" customHeight="1" x14ac:dyDescent="0.25">
      <c r="A15" s="523"/>
      <c r="B15" s="522">
        <v>2</v>
      </c>
      <c r="C15" s="1361" t="s">
        <v>1215</v>
      </c>
      <c r="D15" s="1362"/>
      <c r="E15" s="1362"/>
      <c r="F15" s="1362"/>
      <c r="G15" s="1362"/>
      <c r="H15" s="1362"/>
      <c r="I15" s="1362"/>
      <c r="J15" s="1362"/>
      <c r="K15" s="1363"/>
      <c r="L15" s="1360" t="s">
        <v>974</v>
      </c>
      <c r="M15" s="1360"/>
      <c r="N15" s="13"/>
      <c r="O15" s="13"/>
      <c r="P15" s="13"/>
    </row>
    <row r="16" spans="1:16" ht="42.75" customHeight="1" x14ac:dyDescent="0.25">
      <c r="A16" s="523"/>
      <c r="B16" s="522">
        <v>3</v>
      </c>
      <c r="C16" s="1364" t="s">
        <v>973</v>
      </c>
      <c r="D16" s="1365"/>
      <c r="E16" s="1365"/>
      <c r="F16" s="1365"/>
      <c r="G16" s="1365"/>
      <c r="H16" s="1365"/>
      <c r="I16" s="1365"/>
      <c r="J16" s="1365"/>
      <c r="K16" s="1366"/>
      <c r="L16" s="1360" t="s">
        <v>974</v>
      </c>
      <c r="M16" s="1360"/>
      <c r="N16" s="13"/>
      <c r="O16" s="13"/>
      <c r="P16" s="13"/>
    </row>
    <row r="17" spans="1:16" ht="15" customHeight="1" x14ac:dyDescent="0.25">
      <c r="A17" s="523"/>
      <c r="B17" s="523"/>
      <c r="C17" s="523"/>
      <c r="D17" s="523"/>
      <c r="E17" s="523"/>
      <c r="F17" s="523"/>
      <c r="G17" s="523"/>
      <c r="H17" s="523"/>
      <c r="I17" s="523"/>
      <c r="J17" s="523"/>
      <c r="K17" s="523"/>
      <c r="L17" s="13"/>
      <c r="M17" s="13"/>
      <c r="N17" s="13"/>
      <c r="O17" s="13"/>
      <c r="P17" s="13"/>
    </row>
    <row r="18" spans="1:16" ht="18" customHeight="1" x14ac:dyDescent="0.25">
      <c r="A18" s="523"/>
      <c r="B18" s="523" t="s">
        <v>977</v>
      </c>
      <c r="C18" s="523"/>
      <c r="D18" s="523"/>
      <c r="E18" s="523"/>
      <c r="F18" s="523"/>
      <c r="G18" s="523"/>
      <c r="H18" s="523"/>
      <c r="I18" s="523"/>
      <c r="J18" s="523"/>
      <c r="K18" s="523"/>
      <c r="L18" s="13"/>
      <c r="M18" s="13"/>
      <c r="N18" s="13"/>
      <c r="O18" s="13"/>
      <c r="P18" s="13"/>
    </row>
    <row r="19" spans="1:16" ht="18" customHeight="1" x14ac:dyDescent="0.25">
      <c r="A19" s="523"/>
      <c r="B19" s="522">
        <v>1</v>
      </c>
      <c r="C19" s="1364" t="s">
        <v>1213</v>
      </c>
      <c r="D19" s="1365"/>
      <c r="E19" s="1365"/>
      <c r="F19" s="1365"/>
      <c r="G19" s="1365"/>
      <c r="H19" s="1365"/>
      <c r="I19" s="1365"/>
      <c r="J19" s="1365"/>
      <c r="K19" s="1366"/>
      <c r="L19" s="1360" t="s">
        <v>974</v>
      </c>
      <c r="M19" s="1360"/>
      <c r="N19" s="13"/>
      <c r="O19" s="13"/>
      <c r="P19" s="13"/>
    </row>
    <row r="20" spans="1:16" ht="18" customHeight="1" x14ac:dyDescent="0.25">
      <c r="A20" s="523"/>
      <c r="B20" s="522">
        <v>2</v>
      </c>
      <c r="C20" s="1364" t="s">
        <v>1218</v>
      </c>
      <c r="D20" s="1365"/>
      <c r="E20" s="1365"/>
      <c r="F20" s="1365"/>
      <c r="G20" s="1365"/>
      <c r="H20" s="1365"/>
      <c r="I20" s="1365"/>
      <c r="J20" s="1365"/>
      <c r="K20" s="1366"/>
      <c r="L20" s="1360" t="s">
        <v>974</v>
      </c>
      <c r="M20" s="1360"/>
      <c r="N20" s="13"/>
      <c r="O20" s="13"/>
      <c r="P20" s="13"/>
    </row>
    <row r="21" spans="1:16" ht="18" customHeight="1" x14ac:dyDescent="0.25">
      <c r="A21" s="523"/>
      <c r="B21" s="523"/>
      <c r="C21" s="523"/>
      <c r="D21" s="523"/>
      <c r="E21" s="523"/>
      <c r="F21" s="523"/>
      <c r="G21" s="523"/>
      <c r="H21" s="523"/>
      <c r="I21" s="523"/>
      <c r="J21" s="523"/>
      <c r="K21" s="523"/>
      <c r="L21" s="13"/>
      <c r="M21" s="13"/>
      <c r="N21" s="13"/>
      <c r="O21" s="13"/>
      <c r="P21" s="13"/>
    </row>
    <row r="22" spans="1:16" ht="18" customHeight="1" x14ac:dyDescent="0.25">
      <c r="A22" s="1204" t="s">
        <v>978</v>
      </c>
      <c r="B22" s="1204"/>
      <c r="C22" s="1204"/>
      <c r="D22" s="1204"/>
      <c r="E22" s="523"/>
      <c r="F22" s="523"/>
      <c r="G22" s="523"/>
      <c r="H22" s="523"/>
      <c r="I22" s="523"/>
      <c r="J22" s="523"/>
      <c r="K22" s="523"/>
      <c r="L22" s="13"/>
      <c r="M22" s="13"/>
      <c r="N22" s="13"/>
      <c r="O22" s="13"/>
      <c r="P22" s="13"/>
    </row>
    <row r="23" spans="1:16" ht="12" customHeight="1" x14ac:dyDescent="0.25">
      <c r="A23" s="523"/>
      <c r="B23" s="523"/>
      <c r="C23" s="523"/>
      <c r="D23" s="523"/>
      <c r="E23" s="523"/>
      <c r="F23" s="523"/>
      <c r="G23" s="523"/>
      <c r="H23" s="523"/>
      <c r="I23" s="523"/>
      <c r="J23" s="523"/>
      <c r="K23" s="523"/>
      <c r="L23" s="13"/>
      <c r="M23" s="13"/>
      <c r="N23" s="13"/>
      <c r="O23" s="13"/>
      <c r="P23" s="13"/>
    </row>
    <row r="24" spans="1:16" ht="18" customHeight="1" x14ac:dyDescent="0.25">
      <c r="A24" s="523"/>
      <c r="B24" s="523" t="s">
        <v>979</v>
      </c>
      <c r="C24" s="523"/>
      <c r="D24" s="523"/>
      <c r="E24" s="523"/>
      <c r="F24" s="523"/>
      <c r="G24" s="523"/>
      <c r="H24" s="523"/>
      <c r="I24" s="523"/>
      <c r="J24" s="523"/>
      <c r="K24" s="523"/>
      <c r="L24" s="13"/>
      <c r="M24" s="13"/>
      <c r="N24" s="13"/>
      <c r="O24" s="13"/>
      <c r="P24" s="13"/>
    </row>
    <row r="25" spans="1:16" ht="18" customHeight="1" x14ac:dyDescent="0.25">
      <c r="A25" s="523"/>
      <c r="B25" s="522">
        <v>1</v>
      </c>
      <c r="C25" s="1367" t="s">
        <v>1219</v>
      </c>
      <c r="D25" s="1367"/>
      <c r="E25" s="1367"/>
      <c r="F25" s="1367"/>
      <c r="G25" s="1367"/>
      <c r="H25" s="1367"/>
      <c r="I25" s="1367"/>
      <c r="J25" s="1367"/>
      <c r="K25" s="1367"/>
      <c r="L25" s="1360" t="s">
        <v>974</v>
      </c>
      <c r="M25" s="1360"/>
      <c r="N25" s="13"/>
      <c r="O25" s="13"/>
      <c r="P25" s="13"/>
    </row>
    <row r="26" spans="1:16" ht="18" customHeight="1" x14ac:dyDescent="0.25">
      <c r="A26" s="523"/>
      <c r="B26" s="522">
        <v>2</v>
      </c>
      <c r="C26" s="1367" t="s">
        <v>980</v>
      </c>
      <c r="D26" s="1367"/>
      <c r="E26" s="1367"/>
      <c r="F26" s="1367"/>
      <c r="G26" s="1367"/>
      <c r="H26" s="1367"/>
      <c r="I26" s="1367"/>
      <c r="J26" s="1367"/>
      <c r="K26" s="1367"/>
      <c r="L26" s="1360" t="s">
        <v>974</v>
      </c>
      <c r="M26" s="1360"/>
      <c r="N26" s="13"/>
      <c r="O26" s="13"/>
      <c r="P26" s="13"/>
    </row>
    <row r="27" spans="1:16" ht="18" customHeight="1" x14ac:dyDescent="0.25">
      <c r="A27" s="523"/>
      <c r="B27" s="522">
        <v>3</v>
      </c>
      <c r="C27" s="1367" t="s">
        <v>1148</v>
      </c>
      <c r="D27" s="1367"/>
      <c r="E27" s="1367"/>
      <c r="F27" s="1367"/>
      <c r="G27" s="1367"/>
      <c r="H27" s="1367"/>
      <c r="I27" s="1367"/>
      <c r="J27" s="1367"/>
      <c r="K27" s="1367"/>
      <c r="L27" s="1360" t="s">
        <v>974</v>
      </c>
      <c r="M27" s="1360"/>
      <c r="N27" s="13"/>
      <c r="O27" s="13"/>
      <c r="P27" s="13"/>
    </row>
    <row r="28" spans="1:16" ht="18" customHeight="1" x14ac:dyDescent="0.25">
      <c r="A28" s="523"/>
      <c r="B28" s="522">
        <v>4</v>
      </c>
      <c r="C28" s="1367" t="s">
        <v>1220</v>
      </c>
      <c r="D28" s="1367"/>
      <c r="E28" s="1367"/>
      <c r="F28" s="1367"/>
      <c r="G28" s="1367"/>
      <c r="H28" s="1367"/>
      <c r="I28" s="1367"/>
      <c r="J28" s="1367"/>
      <c r="K28" s="1367"/>
      <c r="L28" s="1360" t="s">
        <v>974</v>
      </c>
      <c r="M28" s="1360"/>
      <c r="N28" s="13"/>
      <c r="O28" s="13"/>
      <c r="P28" s="13"/>
    </row>
    <row r="29" spans="1:16" ht="27.75" customHeight="1" x14ac:dyDescent="0.25">
      <c r="A29" s="523"/>
      <c r="B29" s="522">
        <v>5</v>
      </c>
      <c r="C29" s="1367" t="s">
        <v>1149</v>
      </c>
      <c r="D29" s="1367"/>
      <c r="E29" s="1367"/>
      <c r="F29" s="1367"/>
      <c r="G29" s="1367"/>
      <c r="H29" s="1367"/>
      <c r="I29" s="1367"/>
      <c r="J29" s="1367"/>
      <c r="K29" s="1367"/>
      <c r="L29" s="1360" t="s">
        <v>974</v>
      </c>
      <c r="M29" s="1360"/>
      <c r="N29" s="13"/>
      <c r="O29" s="13"/>
      <c r="P29" s="13"/>
    </row>
    <row r="30" spans="1:16" x14ac:dyDescent="0.25">
      <c r="A30" s="523"/>
      <c r="B30" s="523"/>
      <c r="C30" s="523"/>
      <c r="D30" s="523"/>
      <c r="E30" s="523"/>
      <c r="F30" s="523"/>
      <c r="G30" s="523"/>
      <c r="H30" s="523"/>
      <c r="I30" s="523"/>
      <c r="J30" s="523"/>
      <c r="K30" s="523"/>
      <c r="L30" s="13"/>
      <c r="M30" s="13"/>
      <c r="N30" s="13"/>
      <c r="O30" s="13"/>
      <c r="P30" s="13"/>
    </row>
    <row r="31" spans="1:16" ht="18" customHeight="1" x14ac:dyDescent="0.25">
      <c r="A31" s="1204" t="s">
        <v>971</v>
      </c>
      <c r="B31" s="1204"/>
      <c r="C31" s="1204"/>
      <c r="D31" s="1204"/>
      <c r="E31" s="523"/>
      <c r="F31" s="523"/>
      <c r="G31" s="523"/>
      <c r="H31" s="523"/>
      <c r="I31" s="523"/>
      <c r="J31" s="523"/>
      <c r="K31" s="523"/>
      <c r="L31" s="13"/>
      <c r="M31" s="13"/>
      <c r="N31" s="13"/>
      <c r="O31" s="13"/>
      <c r="P31" s="13"/>
    </row>
    <row r="32" spans="1:16" x14ac:dyDescent="0.25">
      <c r="A32" s="523"/>
      <c r="B32" s="523"/>
      <c r="C32" s="523"/>
      <c r="D32" s="523"/>
      <c r="E32" s="523"/>
      <c r="F32" s="523"/>
      <c r="G32" s="523"/>
      <c r="H32" s="523"/>
      <c r="I32" s="523"/>
      <c r="J32" s="523"/>
      <c r="K32" s="523"/>
      <c r="L32" s="13"/>
      <c r="M32" s="13"/>
      <c r="N32" s="13"/>
      <c r="O32" s="13"/>
      <c r="P32" s="13"/>
    </row>
    <row r="33" spans="1:16" ht="16.5" customHeight="1" x14ac:dyDescent="0.25">
      <c r="A33" s="523"/>
      <c r="B33" s="522">
        <v>1</v>
      </c>
      <c r="C33" s="1361" t="s">
        <v>972</v>
      </c>
      <c r="D33" s="1362"/>
      <c r="E33" s="1362"/>
      <c r="F33" s="1362"/>
      <c r="G33" s="1362"/>
      <c r="H33" s="1362"/>
      <c r="I33" s="1362"/>
      <c r="J33" s="1362"/>
      <c r="K33" s="1363"/>
      <c r="L33" s="1360" t="s">
        <v>974</v>
      </c>
      <c r="M33" s="1360"/>
      <c r="N33" s="13"/>
      <c r="O33" s="13"/>
      <c r="P33" s="13"/>
    </row>
    <row r="34" spans="1:16" ht="18" customHeight="1" x14ac:dyDescent="0.25">
      <c r="A34" s="523"/>
      <c r="B34" s="522">
        <v>2</v>
      </c>
      <c r="C34" s="1361" t="s">
        <v>981</v>
      </c>
      <c r="D34" s="1362"/>
      <c r="E34" s="1362"/>
      <c r="F34" s="1362"/>
      <c r="G34" s="1362"/>
      <c r="H34" s="1362"/>
      <c r="I34" s="1362"/>
      <c r="J34" s="1362"/>
      <c r="K34" s="1363"/>
      <c r="L34" s="1360" t="s">
        <v>974</v>
      </c>
      <c r="M34" s="1360"/>
      <c r="N34" s="13"/>
      <c r="O34" s="13"/>
      <c r="P34" s="13"/>
    </row>
    <row r="35" spans="1:16" ht="26.25" customHeight="1" x14ac:dyDescent="0.25">
      <c r="A35" s="523"/>
      <c r="B35" s="522">
        <v>3</v>
      </c>
      <c r="C35" s="1367" t="s">
        <v>2405</v>
      </c>
      <c r="D35" s="1367"/>
      <c r="E35" s="1367"/>
      <c r="F35" s="1367"/>
      <c r="G35" s="1367"/>
      <c r="H35" s="1367"/>
      <c r="I35" s="1367"/>
      <c r="J35" s="1367"/>
      <c r="K35" s="1367"/>
      <c r="L35" s="1360" t="s">
        <v>974</v>
      </c>
      <c r="M35" s="1360"/>
      <c r="N35" s="13"/>
      <c r="O35" s="13"/>
      <c r="P35" s="13"/>
    </row>
    <row r="36" spans="1:16" x14ac:dyDescent="0.25">
      <c r="A36" s="523"/>
      <c r="B36" s="523"/>
      <c r="C36" s="523"/>
      <c r="D36" s="523"/>
      <c r="E36" s="523"/>
      <c r="F36" s="523"/>
      <c r="G36" s="523"/>
      <c r="H36" s="523"/>
      <c r="I36" s="523"/>
      <c r="J36" s="523"/>
      <c r="K36" s="523"/>
      <c r="L36" s="13"/>
      <c r="M36" s="13"/>
      <c r="N36" s="13"/>
      <c r="O36" s="13"/>
      <c r="P36" s="13"/>
    </row>
    <row r="37" spans="1:16" x14ac:dyDescent="0.25">
      <c r="A37" s="523"/>
      <c r="B37" s="523"/>
      <c r="C37" s="523"/>
      <c r="D37" s="523"/>
      <c r="E37" s="523"/>
      <c r="F37" s="523"/>
      <c r="G37" s="523"/>
      <c r="H37" s="523"/>
      <c r="I37" s="523"/>
      <c r="J37" s="523"/>
      <c r="K37" s="523"/>
      <c r="L37" s="13"/>
      <c r="M37" s="13"/>
      <c r="N37" s="13"/>
      <c r="O37" s="13"/>
      <c r="P37" s="13"/>
    </row>
    <row r="38" spans="1:16" hidden="1" x14ac:dyDescent="0.25">
      <c r="B38" s="523"/>
      <c r="C38" s="523"/>
      <c r="D38" s="523"/>
      <c r="E38" s="523"/>
      <c r="F38" s="523"/>
      <c r="G38" s="523"/>
      <c r="H38" s="523"/>
      <c r="I38" s="523"/>
      <c r="J38" s="523"/>
      <c r="K38" s="523"/>
      <c r="L38" s="13"/>
      <c r="M38" s="13"/>
      <c r="N38" s="13"/>
      <c r="O38" s="13"/>
      <c r="P38" s="13"/>
    </row>
    <row r="39" spans="1:16" hidden="1" x14ac:dyDescent="0.25">
      <c r="B39" s="523"/>
      <c r="C39" s="523"/>
      <c r="D39" s="523"/>
      <c r="E39" s="523"/>
      <c r="F39" s="523"/>
      <c r="G39" s="523"/>
      <c r="H39" s="523"/>
      <c r="I39" s="523"/>
      <c r="J39" s="523"/>
      <c r="K39" s="523"/>
      <c r="L39" s="13"/>
      <c r="M39" s="13"/>
      <c r="N39" s="13"/>
      <c r="O39" s="13"/>
      <c r="P39" s="13"/>
    </row>
    <row r="40" spans="1:16" hidden="1" x14ac:dyDescent="0.25">
      <c r="B40" s="18"/>
      <c r="C40" s="18"/>
      <c r="D40" s="18"/>
      <c r="E40" s="18"/>
      <c r="F40" s="18"/>
      <c r="G40" s="18"/>
      <c r="H40" s="18"/>
      <c r="I40" s="18"/>
      <c r="J40" s="18"/>
      <c r="K40" s="18"/>
      <c r="L40" s="14"/>
      <c r="M40" s="14"/>
      <c r="N40" s="14"/>
      <c r="O40" s="14"/>
      <c r="P40" s="14"/>
    </row>
    <row r="41" spans="1:16" hidden="1" x14ac:dyDescent="0.25">
      <c r="B41" s="18"/>
      <c r="C41" s="18"/>
      <c r="D41" s="18"/>
      <c r="E41" s="18"/>
      <c r="F41" s="18"/>
      <c r="G41" s="18"/>
      <c r="H41" s="18"/>
      <c r="I41" s="18"/>
      <c r="J41" s="18"/>
      <c r="K41" s="18"/>
      <c r="L41" s="14"/>
      <c r="M41" s="14"/>
      <c r="N41" s="14"/>
      <c r="O41" s="14"/>
      <c r="P41" s="14"/>
    </row>
    <row r="42" spans="1:16" hidden="1" x14ac:dyDescent="0.25">
      <c r="B42" s="14"/>
      <c r="C42" s="14"/>
      <c r="D42" s="14"/>
      <c r="E42" s="14"/>
      <c r="F42" s="14"/>
      <c r="G42" s="14"/>
      <c r="H42" s="14"/>
      <c r="I42" s="14"/>
      <c r="J42" s="14"/>
      <c r="K42" s="14"/>
      <c r="L42" s="14"/>
      <c r="M42" s="14"/>
      <c r="N42" s="14"/>
      <c r="O42" s="14"/>
      <c r="P42" s="14"/>
    </row>
    <row r="43" spans="1:16" hidden="1" x14ac:dyDescent="0.25">
      <c r="B43" s="14"/>
      <c r="C43" s="14"/>
      <c r="D43" s="14"/>
      <c r="E43" s="14"/>
      <c r="F43" s="14"/>
      <c r="G43" s="14"/>
      <c r="H43" s="14"/>
      <c r="I43" s="14"/>
      <c r="J43" s="14"/>
      <c r="K43" s="14"/>
      <c r="L43" s="14"/>
      <c r="M43" s="14"/>
      <c r="N43" s="14"/>
      <c r="O43" s="14"/>
      <c r="P43" s="14"/>
    </row>
    <row r="44" spans="1:16" hidden="1" x14ac:dyDescent="0.25">
      <c r="B44" s="14"/>
      <c r="C44" s="14"/>
      <c r="D44" s="14"/>
      <c r="E44" s="14"/>
      <c r="F44" s="14"/>
      <c r="G44" s="14"/>
      <c r="H44" s="14"/>
      <c r="I44" s="14"/>
      <c r="J44" s="14"/>
      <c r="K44" s="14"/>
      <c r="L44" s="14"/>
      <c r="M44" s="14"/>
      <c r="N44" s="14"/>
      <c r="O44" s="14"/>
      <c r="P44" s="14"/>
    </row>
    <row r="45" spans="1:16" hidden="1" x14ac:dyDescent="0.25">
      <c r="B45" s="14"/>
      <c r="C45" s="14"/>
      <c r="D45" s="14"/>
      <c r="E45" s="14"/>
      <c r="F45" s="14"/>
      <c r="G45" s="14"/>
      <c r="H45" s="14"/>
      <c r="I45" s="14"/>
      <c r="J45" s="14"/>
      <c r="K45" s="14"/>
      <c r="L45" s="14"/>
      <c r="M45" s="14"/>
      <c r="N45" s="14"/>
      <c r="O45" s="14"/>
      <c r="P45" s="14"/>
    </row>
    <row r="46" spans="1:16" hidden="1" x14ac:dyDescent="0.25">
      <c r="B46" s="14"/>
      <c r="C46" s="14"/>
      <c r="D46" s="14"/>
      <c r="E46" s="14"/>
      <c r="F46" s="14"/>
      <c r="G46" s="14"/>
      <c r="H46" s="14"/>
      <c r="I46" s="14"/>
      <c r="J46" s="14"/>
      <c r="K46" s="14"/>
      <c r="L46" s="14"/>
      <c r="M46" s="14"/>
      <c r="N46" s="14"/>
      <c r="O46" s="14"/>
      <c r="P46" s="14"/>
    </row>
    <row r="47" spans="1:16" hidden="1" x14ac:dyDescent="0.25">
      <c r="B47" s="14"/>
      <c r="C47" s="14"/>
      <c r="D47" s="14"/>
      <c r="E47" s="14"/>
      <c r="F47" s="14"/>
      <c r="G47" s="14"/>
      <c r="H47" s="14"/>
      <c r="I47" s="14"/>
      <c r="J47" s="14"/>
      <c r="K47" s="14"/>
      <c r="L47" s="14"/>
      <c r="M47" s="14"/>
      <c r="N47" s="14"/>
      <c r="O47" s="14"/>
      <c r="P47" s="14"/>
    </row>
    <row r="48" spans="1:16" hidden="1" x14ac:dyDescent="0.25"/>
    <row r="49" ht="15" hidden="1" customHeight="1" x14ac:dyDescent="0.25"/>
    <row r="50" ht="15" hidden="1" customHeight="1" x14ac:dyDescent="0.25"/>
  </sheetData>
  <sheetProtection algorithmName="SHA-512" hashValue="73tGNZ6M4d/nN76QAAaoY0hkby9WOvodrpk3WbAVs7ktBJ9TSqxirVHHJG1w5F71rgLbEeBJxzrb38X2/GJMag==" saltValue="t/FwlSkfxKWJSZfBjjKM/A==" spinCount="100000" sheet="1" objects="1" scenarios="1"/>
  <mergeCells count="38">
    <mergeCell ref="C34:K34"/>
    <mergeCell ref="L34:M34"/>
    <mergeCell ref="C35:K35"/>
    <mergeCell ref="L35:M35"/>
    <mergeCell ref="C26:K26"/>
    <mergeCell ref="L26:M26"/>
    <mergeCell ref="C27:K27"/>
    <mergeCell ref="L27:M27"/>
    <mergeCell ref="C29:K29"/>
    <mergeCell ref="L29:M29"/>
    <mergeCell ref="A31:D31"/>
    <mergeCell ref="C16:K16"/>
    <mergeCell ref="L16:M16"/>
    <mergeCell ref="C19:K19"/>
    <mergeCell ref="L19:M19"/>
    <mergeCell ref="C33:K33"/>
    <mergeCell ref="L33:M33"/>
    <mergeCell ref="C20:K20"/>
    <mergeCell ref="L20:M20"/>
    <mergeCell ref="C25:K25"/>
    <mergeCell ref="L25:M25"/>
    <mergeCell ref="C28:K28"/>
    <mergeCell ref="L28:M28"/>
    <mergeCell ref="A22:D22"/>
    <mergeCell ref="C9:K9"/>
    <mergeCell ref="L9:M9"/>
    <mergeCell ref="C14:K14"/>
    <mergeCell ref="L14:M14"/>
    <mergeCell ref="C15:K15"/>
    <mergeCell ref="L15:M15"/>
    <mergeCell ref="A11:D11"/>
    <mergeCell ref="A1:O1"/>
    <mergeCell ref="B2:O3"/>
    <mergeCell ref="C7:K7"/>
    <mergeCell ref="L7:M7"/>
    <mergeCell ref="C8:K8"/>
    <mergeCell ref="L8:M8"/>
    <mergeCell ref="A5:D5"/>
  </mergeCells>
  <dataValidations count="1">
    <dataValidation type="list" allowBlank="1" showInputMessage="1" showErrorMessage="1" sqref="L7:M9 L14:M16 L33:M35 L19:M20 L25:M29">
      <formula1>"Please confirm,Yes,No"</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61</vt:i4>
      </vt:variant>
      <vt:variant>
        <vt:lpstr>Named Ranges</vt:lpstr>
      </vt:variant>
      <vt:variant>
        <vt:i4>8</vt:i4>
      </vt:variant>
    </vt:vector>
  </HeadingPairs>
  <TitlesOfParts>
    <vt:vector size="69" baseType="lpstr">
      <vt:lpstr>Home</vt:lpstr>
      <vt:lpstr>Acknowledgments</vt:lpstr>
      <vt:lpstr>Introduction</vt:lpstr>
      <vt:lpstr>Instructions</vt:lpstr>
      <vt:lpstr>Recommendations</vt:lpstr>
      <vt:lpstr>Project information</vt:lpstr>
      <vt:lpstr>Application Form</vt:lpstr>
      <vt:lpstr>Pre-assessment checklist</vt:lpstr>
      <vt:lpstr>Certification stage checklist </vt:lpstr>
      <vt:lpstr>LOTUS Homes Scorecard</vt:lpstr>
      <vt:lpstr>Graphical Results</vt:lpstr>
      <vt:lpstr>Energy</vt:lpstr>
      <vt:lpstr>E-1 Passive Design</vt:lpstr>
      <vt:lpstr>E-2 Building Envelope</vt:lpstr>
      <vt:lpstr>E-3 Home Cooling</vt:lpstr>
      <vt:lpstr>E-4 Artificial Lighting</vt:lpstr>
      <vt:lpstr>E-5 Water Heating</vt:lpstr>
      <vt:lpstr>E-6 Energy Efficient Appliances</vt:lpstr>
      <vt:lpstr>E-7 Energy Monitor</vt:lpstr>
      <vt:lpstr>Energy BPC</vt:lpstr>
      <vt:lpstr>Water</vt:lpstr>
      <vt:lpstr>W-1 Water Efficient Fixtures</vt:lpstr>
      <vt:lpstr>W-2 Water Efficient Landscaping</vt:lpstr>
      <vt:lpstr>W-3 Drinking Water </vt:lpstr>
      <vt:lpstr>Water BPC</vt:lpstr>
      <vt:lpstr>Materials</vt:lpstr>
      <vt:lpstr>M-1 Structure Materials</vt:lpstr>
      <vt:lpstr>M-2 Non-structural Walls</vt:lpstr>
      <vt:lpstr>M-3 Windows and Doors</vt:lpstr>
      <vt:lpstr>M-4 Flooring Materials</vt:lpstr>
      <vt:lpstr>M-5 Roofing Materials</vt:lpstr>
      <vt:lpstr>M-6 Furniture</vt:lpstr>
      <vt:lpstr>Health &amp; Comfort</vt:lpstr>
      <vt:lpstr>H-1 Fresh Air Supply</vt:lpstr>
      <vt:lpstr>H-2 Ventilation in wet areas</vt:lpstr>
      <vt:lpstr>H-3 Low-VOC Emissions </vt:lpstr>
      <vt:lpstr>H-4 Daylighting</vt:lpstr>
      <vt:lpstr>H-5 Acoustic Comfort</vt:lpstr>
      <vt:lpstr>H&amp;C BPC</vt:lpstr>
      <vt:lpstr>Local Environment</vt:lpstr>
      <vt:lpstr>LE-1 Site Selection</vt:lpstr>
      <vt:lpstr>LE-2 Site design</vt:lpstr>
      <vt:lpstr>LE-3 Vegetation</vt:lpstr>
      <vt:lpstr>LE-4 Heat Island Effect</vt:lpstr>
      <vt:lpstr>LE-5 Storm Water Runoff</vt:lpstr>
      <vt:lpstr>LE-6 Flood Risk Mitigation</vt:lpstr>
      <vt:lpstr>LE-7 Refrigerants</vt:lpstr>
      <vt:lpstr>LE-8 Waste Management</vt:lpstr>
      <vt:lpstr>LE BPC</vt:lpstr>
      <vt:lpstr>Community &amp; Management</vt:lpstr>
      <vt:lpstr>CM-1 Design Stage</vt:lpstr>
      <vt:lpstr>CM-2 Construction Management</vt:lpstr>
      <vt:lpstr>CM-3 Operational Management</vt:lpstr>
      <vt:lpstr>CM BPC</vt:lpstr>
      <vt:lpstr>Innovation</vt:lpstr>
      <vt:lpstr>Inn-1 Exceptional Performance </vt:lpstr>
      <vt:lpstr>Inn-2 Innovative Techniques</vt:lpstr>
      <vt:lpstr>Glossary</vt:lpstr>
      <vt:lpstr>Resources</vt:lpstr>
      <vt:lpstr>Rainfall Data</vt:lpstr>
      <vt:lpstr>Feedback</vt:lpstr>
      <vt:lpstr>'H-3 Low-VOC Emissions '!basic_services</vt:lpstr>
      <vt:lpstr>basic_services</vt:lpstr>
      <vt:lpstr>buildingtype</vt:lpstr>
      <vt:lpstr>'H-3 Low-VOC Emissions '!Locations</vt:lpstr>
      <vt:lpstr>Locations</vt:lpstr>
      <vt:lpstr>'Application Form'!Print_Area</vt:lpstr>
      <vt:lpstr>slope</vt:lpstr>
      <vt:lpstr>type_AC</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xavier</dc:creator>
  <cp:lastModifiedBy>Xavier</cp:lastModifiedBy>
  <cp:lastPrinted>2016-05-16T04:07:38Z</cp:lastPrinted>
  <dcterms:created xsi:type="dcterms:W3CDTF">2015-09-08T04:37:16Z</dcterms:created>
  <dcterms:modified xsi:type="dcterms:W3CDTF">2018-09-15T13:37:27Z</dcterms:modified>
</cp:coreProperties>
</file>